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N:\JPG\Investor Reporting\Paragon Finance\PM10\"/>
    </mc:Choice>
  </mc:AlternateContent>
  <xr:revisionPtr revIDLastSave="0" documentId="13_ncr:1_{B1618BC3-3962-474F-98C0-6E483E4824E6}" xr6:coauthVersionLast="45" xr6:coauthVersionMax="45" xr10:uidLastSave="{00000000-0000-0000-0000-000000000000}"/>
  <bookViews>
    <workbookView xWindow="28680" yWindow="195" windowWidth="25440" windowHeight="15390" firstSheet="49" activeTab="58" xr2:uid="{00000000-000D-0000-FFFF-FFFF00000000}"/>
  </bookViews>
  <sheets>
    <sheet name="Feb 06" sheetId="1" r:id="rId1"/>
    <sheet name="May 06" sheetId="2" r:id="rId2"/>
    <sheet name="Aug 06" sheetId="3" r:id="rId3"/>
    <sheet name="Nov 06" sheetId="4" r:id="rId4"/>
    <sheet name="Feb 07" sheetId="5" r:id="rId5"/>
    <sheet name="May 07" sheetId="6" r:id="rId6"/>
    <sheet name="Aug 07" sheetId="7" r:id="rId7"/>
    <sheet name="Nov 07" sheetId="8" r:id="rId8"/>
    <sheet name="Feb 08" sheetId="9" r:id="rId9"/>
    <sheet name="May 08" sheetId="10" r:id="rId10"/>
    <sheet name="Aug 08" sheetId="14" r:id="rId11"/>
    <sheet name="Nov 08" sheetId="15" r:id="rId12"/>
    <sheet name="Feb 09" sheetId="16" r:id="rId13"/>
    <sheet name="May 09" sheetId="17" r:id="rId14"/>
    <sheet name="Aug 09" sheetId="18" r:id="rId15"/>
    <sheet name="Nov 09" sheetId="19" r:id="rId16"/>
    <sheet name="Feb 10" sheetId="20" r:id="rId17"/>
    <sheet name="May 10" sheetId="21" r:id="rId18"/>
    <sheet name="August 10" sheetId="22" r:id="rId19"/>
    <sheet name="Nov 10" sheetId="23" r:id="rId20"/>
    <sheet name="Feb 11" sheetId="24" r:id="rId21"/>
    <sheet name="May 11" sheetId="25" r:id="rId22"/>
    <sheet name="August 11" sheetId="26" r:id="rId23"/>
    <sheet name="Nov 11" sheetId="27" r:id="rId24"/>
    <sheet name="Feb 12" sheetId="28" r:id="rId25"/>
    <sheet name="May 12" sheetId="29" r:id="rId26"/>
    <sheet name="August 12" sheetId="30" r:id="rId27"/>
    <sheet name="Nov 12" sheetId="31" r:id="rId28"/>
    <sheet name="Feb 13" sheetId="32" r:id="rId29"/>
    <sheet name="May 13" sheetId="33" r:id="rId30"/>
    <sheet name="Aug 13" sheetId="34" r:id="rId31"/>
    <sheet name="Nov 13" sheetId="35" r:id="rId32"/>
    <sheet name="Feb 14" sheetId="36" r:id="rId33"/>
    <sheet name="May 14" sheetId="37" r:id="rId34"/>
    <sheet name="August 14" sheetId="38" r:id="rId35"/>
    <sheet name="Nov 14" sheetId="39" r:id="rId36"/>
    <sheet name="Feb 15" sheetId="40" r:id="rId37"/>
    <sheet name="May 15" sheetId="41" r:id="rId38"/>
    <sheet name="Aug 15" sheetId="42" r:id="rId39"/>
    <sheet name="Nov 15" sheetId="43" r:id="rId40"/>
    <sheet name="Feb 16" sheetId="44" r:id="rId41"/>
    <sheet name="May 16" sheetId="45" r:id="rId42"/>
    <sheet name="Aug 16" sheetId="46" r:id="rId43"/>
    <sheet name="Nov 16" sheetId="47" r:id="rId44"/>
    <sheet name="Feb 17" sheetId="48" r:id="rId45"/>
    <sheet name="May 17" sheetId="49" r:id="rId46"/>
    <sheet name="Aug 17" sheetId="50" r:id="rId47"/>
    <sheet name="Nov 17" sheetId="51" r:id="rId48"/>
    <sheet name="Feb 18" sheetId="52" r:id="rId49"/>
    <sheet name="May 18" sheetId="53" r:id="rId50"/>
    <sheet name="Aug 18" sheetId="54" r:id="rId51"/>
    <sheet name="Nov 18" sheetId="55" r:id="rId52"/>
    <sheet name="Feb 19" sheetId="56" r:id="rId53"/>
    <sheet name="May 19" sheetId="57" r:id="rId54"/>
    <sheet name="Aug 19" sheetId="58" r:id="rId55"/>
    <sheet name="Nov 19" sheetId="59" r:id="rId56"/>
    <sheet name="Feb 20" sheetId="60" r:id="rId57"/>
    <sheet name="May 20" sheetId="61" r:id="rId58"/>
    <sheet name="Aug 20" sheetId="62" r:id="rId59"/>
  </sheets>
  <definedNames>
    <definedName name="_100PAGE_4" localSheetId="14">'Aug 09'!$A$197:$U$280</definedName>
    <definedName name="_101PAGE_4" localSheetId="30">'Aug 13'!$A$198:$U$293</definedName>
    <definedName name="_102PAGE_4" localSheetId="18">'August 10'!$A$197:$U$292</definedName>
    <definedName name="_103PAGE_4" localSheetId="22">'August 11'!$A$197:$U$292</definedName>
    <definedName name="_104PAGE_4" localSheetId="26">'August 12'!$A$197:$U$292</definedName>
    <definedName name="_105PAGE_4" localSheetId="4">'Feb 07'!$A$196:$U$279</definedName>
    <definedName name="_106PAGE_4" localSheetId="8">'Feb 08'!$A$197:$U$280</definedName>
    <definedName name="_107PAGE_4" localSheetId="12">'Feb 09'!$A$197:$U$280</definedName>
    <definedName name="_108PAGE_4" localSheetId="16">'Feb 10'!$A$198:$U$281</definedName>
    <definedName name="_109PAGE_4" localSheetId="20">'Feb 11'!$A$197:$U$292</definedName>
    <definedName name="_10PAGE_1" localSheetId="8">'Feb 08'!$A$1:$U$64</definedName>
    <definedName name="_110PAGE_4" localSheetId="24">'Feb 12'!$A$197:$U$292</definedName>
    <definedName name="_111PAGE_4" localSheetId="28">'Feb 13'!$A$198:$U$293</definedName>
    <definedName name="_112PAGE_4" localSheetId="1">'May 06'!$A$195:$U$278</definedName>
    <definedName name="_113PAGE_4" localSheetId="5">'May 07'!$A$196:$U$278</definedName>
    <definedName name="_114PAGE_4" localSheetId="9">'May 08'!$A$197:$U$280</definedName>
    <definedName name="_115PAGE_4" localSheetId="13">'May 09'!$A$197:$U$280</definedName>
    <definedName name="_116PAGE_4" localSheetId="17">'May 10'!$A$197:$U$280</definedName>
    <definedName name="_117PAGE_4" localSheetId="21">'May 11'!$A$197:$U$292</definedName>
    <definedName name="_118PAGE_4" localSheetId="25">'May 12'!$A$197:$U$292</definedName>
    <definedName name="_119PAGE_4" localSheetId="29">'May 13'!$A$198:$U$293</definedName>
    <definedName name="_11PAGE_1" localSheetId="12">'Feb 09'!$A$1:$U$64</definedName>
    <definedName name="_120PAGE_4" localSheetId="3">'Nov 06'!$A$195:$U$278</definedName>
    <definedName name="_121PAGE_4" localSheetId="7">'Nov 07'!$A$197:$U$280</definedName>
    <definedName name="_122PAGE_4" localSheetId="11">'Nov 08'!$A$197:$U$280</definedName>
    <definedName name="_123PAGE_4" localSheetId="15">'Nov 09'!$A$198:$U$281</definedName>
    <definedName name="_124PAGE_4" localSheetId="19">'Nov 10'!$A$197:$U$292</definedName>
    <definedName name="_125PAGE_4" localSheetId="23">'Nov 11'!$A$197:$U$292</definedName>
    <definedName name="_126PAGE_4" localSheetId="27">'Nov 12'!$A$197:$U$292</definedName>
    <definedName name="_127PAGE_4" localSheetId="38">'Aug 15'!$A$198:$U$293</definedName>
    <definedName name="_127PAGE_4" localSheetId="42">'Aug 16'!$A$198:$U$293</definedName>
    <definedName name="_127PAGE_4" localSheetId="46">'Aug 17'!$A$197:$U$296</definedName>
    <definedName name="_127PAGE_4" localSheetId="50">'Aug 18'!$A$197:$U$296</definedName>
    <definedName name="_127PAGE_4" localSheetId="54">'Aug 19'!$A$200:$U$299</definedName>
    <definedName name="_127PAGE_4" localSheetId="58">'Aug 20'!$A$201:$U$327</definedName>
    <definedName name="_127PAGE_4" localSheetId="34">'August 14'!$A$198:$U$293</definedName>
    <definedName name="_127PAGE_4" localSheetId="32">'Feb 14'!$A$198:$U$293</definedName>
    <definedName name="_127PAGE_4" localSheetId="36">'Feb 15'!$A$198:$U$293</definedName>
    <definedName name="_127PAGE_4" localSheetId="40">'Feb 16'!$A$198:$U$293</definedName>
    <definedName name="_127PAGE_4" localSheetId="44">'Feb 17'!$A$197:$U$296</definedName>
    <definedName name="_127PAGE_4" localSheetId="48">'Feb 18'!$A$197:$U$296</definedName>
    <definedName name="_127PAGE_4" localSheetId="52">'Feb 19'!$A$197:$U$296</definedName>
    <definedName name="_127PAGE_4" localSheetId="56">'Feb 20'!$A$200:$U$299</definedName>
    <definedName name="_127PAGE_4" localSheetId="33">'May 14'!$A$198:$U$293</definedName>
    <definedName name="_127PAGE_4" localSheetId="37">'May 15'!$A$198:$U$293</definedName>
    <definedName name="_127PAGE_4" localSheetId="41">'May 16'!$A$198:$U$293</definedName>
    <definedName name="_127PAGE_4" localSheetId="45">'May 17'!$A$197:$U$296</definedName>
    <definedName name="_127PAGE_4" localSheetId="49">'May 18'!$A$197:$U$296</definedName>
    <definedName name="_127PAGE_4" localSheetId="53">'May 19'!$A$197:$U$296</definedName>
    <definedName name="_127PAGE_4" localSheetId="57">'May 20'!$A$200:$U$324</definedName>
    <definedName name="_127PAGE_4" localSheetId="31">'Nov 13'!$A$198:$U$293</definedName>
    <definedName name="_127PAGE_4" localSheetId="35">'Nov 14'!$A$198:$U$293</definedName>
    <definedName name="_127PAGE_4" localSheetId="39">'Nov 15'!$A$198:$U$293</definedName>
    <definedName name="_127PAGE_4" localSheetId="43">'Nov 16'!$A$197:$U$297</definedName>
    <definedName name="_127PAGE_4" localSheetId="47">'Nov 17'!$A$197:$U$296</definedName>
    <definedName name="_127PAGE_4" localSheetId="51">'Nov 18'!$A$197:$U$296</definedName>
    <definedName name="_127PAGE_4" localSheetId="55">'Nov 19'!$A$200:$U$299</definedName>
    <definedName name="_128PAGE_4">'Feb 06'!$A$194:$U$277</definedName>
    <definedName name="_12PAGE_1" localSheetId="16">'Feb 10'!$A$1:$U$64</definedName>
    <definedName name="_13PAGE_1" localSheetId="20">'Feb 11'!$A$1:$U$64</definedName>
    <definedName name="_14PAGE_1" localSheetId="24">'Feb 12'!$A$1:$U$64</definedName>
    <definedName name="_15PAGE_1" localSheetId="28">'Feb 13'!$A$1:$U$64</definedName>
    <definedName name="_16PAGE_1" localSheetId="1">'May 06'!$A$1:$U$64</definedName>
    <definedName name="_17PAGE_1" localSheetId="5">'May 07'!$A$1:$U$64</definedName>
    <definedName name="_18PAGE_1" localSheetId="9">'May 08'!$A$1:$U$64</definedName>
    <definedName name="_19PAGE_1" localSheetId="13">'May 09'!$A$1:$U$64</definedName>
    <definedName name="_1PAGE_1" localSheetId="2">'Aug 06'!$A$1:$U$64</definedName>
    <definedName name="_20PAGE_1" localSheetId="17">'May 10'!$A$1:$U$64</definedName>
    <definedName name="_21PAGE_1" localSheetId="21">'May 11'!$A$1:$U$64</definedName>
    <definedName name="_22PAGE_1" localSheetId="25">'May 12'!$A$1:$U$64</definedName>
    <definedName name="_23PAGE_1" localSheetId="29">'May 13'!$A$1:$U$64</definedName>
    <definedName name="_24PAGE_1" localSheetId="3">'Nov 06'!$A$1:$U$64</definedName>
    <definedName name="_25PAGE_1" localSheetId="7">'Nov 07'!$A$1:$U$64</definedName>
    <definedName name="_26PAGE_1" localSheetId="11">'Nov 08'!$A$1:$U$64</definedName>
    <definedName name="_27PAGE_1" localSheetId="15">'Nov 09'!$A$1:$U$64</definedName>
    <definedName name="_28PAGE_1" localSheetId="19">'Nov 10'!$A$1:$U$64</definedName>
    <definedName name="_29PAGE_1" localSheetId="23">'Nov 11'!$A$1:$U$64</definedName>
    <definedName name="_2PAGE_1" localSheetId="6">'Aug 07'!$A$1:$U$64</definedName>
    <definedName name="_30PAGE_1" localSheetId="27">'Nov 12'!$A$1:$U$64</definedName>
    <definedName name="_31PAGE_1" localSheetId="38">'Aug 15'!$A$1:$U$64</definedName>
    <definedName name="_31PAGE_1" localSheetId="42">'Aug 16'!$A$1:$U$64</definedName>
    <definedName name="_31PAGE_1" localSheetId="46">'Aug 17'!$A$1:$U$63</definedName>
    <definedName name="_31PAGE_1" localSheetId="50">'Aug 18'!$A$1:$U$63</definedName>
    <definedName name="_31PAGE_1" localSheetId="54">'Aug 19'!$A$1:$U$63</definedName>
    <definedName name="_31PAGE_1" localSheetId="58">'Aug 20'!$A$1:$U$63</definedName>
    <definedName name="_31PAGE_1" localSheetId="34">'August 14'!$A$1:$U$64</definedName>
    <definedName name="_31PAGE_1" localSheetId="32">'Feb 14'!$A$1:$U$64</definedName>
    <definedName name="_31PAGE_1" localSheetId="36">'Feb 15'!$A$1:$U$64</definedName>
    <definedName name="_31PAGE_1" localSheetId="40">'Feb 16'!$A$1:$U$64</definedName>
    <definedName name="_31PAGE_1" localSheetId="44">'Feb 17'!$A$1:$U$63</definedName>
    <definedName name="_31PAGE_1" localSheetId="48">'Feb 18'!$A$1:$U$63</definedName>
    <definedName name="_31PAGE_1" localSheetId="52">'Feb 19'!$A$1:$U$63</definedName>
    <definedName name="_31PAGE_1" localSheetId="56">'Feb 20'!$A$1:$U$63</definedName>
    <definedName name="_31PAGE_1" localSheetId="33">'May 14'!$A$1:$U$64</definedName>
    <definedName name="_31PAGE_1" localSheetId="37">'May 15'!$A$1:$U$64</definedName>
    <definedName name="_31PAGE_1" localSheetId="41">'May 16'!$A$1:$U$64</definedName>
    <definedName name="_31PAGE_1" localSheetId="45">'May 17'!$A$1:$U$63</definedName>
    <definedName name="_31PAGE_1" localSheetId="49">'May 18'!$A$1:$U$63</definedName>
    <definedName name="_31PAGE_1" localSheetId="53">'May 19'!$A$1:$U$63</definedName>
    <definedName name="_31PAGE_1" localSheetId="57">'May 20'!$A$1:$U$63</definedName>
    <definedName name="_31PAGE_1" localSheetId="31">'Nov 13'!$A$1:$U$64</definedName>
    <definedName name="_31PAGE_1" localSheetId="35">'Nov 14'!$A$1:$U$64</definedName>
    <definedName name="_31PAGE_1" localSheetId="39">'Nov 15'!$A$1:$U$64</definedName>
    <definedName name="_31PAGE_1" localSheetId="43">'Nov 16'!$A$1:$U$63</definedName>
    <definedName name="_31PAGE_1" localSheetId="47">'Nov 17'!$A$1:$U$63</definedName>
    <definedName name="_31PAGE_1" localSheetId="51">'Nov 18'!$A$1:$U$63</definedName>
    <definedName name="_31PAGE_1" localSheetId="55">'Nov 19'!$A$1:$U$63</definedName>
    <definedName name="_32PAGE_1">'Feb 06'!$A$1:$U$64</definedName>
    <definedName name="_33PAGE_2" localSheetId="2">'Aug 06'!$A$65:$U$134</definedName>
    <definedName name="_34PAGE_2" localSheetId="6">'Aug 07'!$A$65:$U$135</definedName>
    <definedName name="_35PAGE_2" localSheetId="10">'Aug 08'!$A$65:$U$136</definedName>
    <definedName name="_36PAGE_2" localSheetId="14">'Aug 09'!$A$65:$U$136</definedName>
    <definedName name="_37PAGE_2" localSheetId="30">'Aug 13'!$A$65:$U$136</definedName>
    <definedName name="_38PAGE_2" localSheetId="18">'August 10'!$A$65:$U$135</definedName>
    <definedName name="_39PAGE_2" localSheetId="22">'August 11'!$A$65:$U$135</definedName>
    <definedName name="_3PAGE_1" localSheetId="10">'Aug 08'!$A$1:$U$64</definedName>
    <definedName name="_40PAGE_2" localSheetId="26">'August 12'!$A$65:$U$135</definedName>
    <definedName name="_41PAGE_2" localSheetId="4">'Feb 07'!$A$65:$U$135</definedName>
    <definedName name="_42PAGE_2" localSheetId="8">'Feb 08'!$A$65:$U$136</definedName>
    <definedName name="_43PAGE_2" localSheetId="12">'Feb 09'!$A$65:$U$136</definedName>
    <definedName name="_44PAGE_2" localSheetId="16">'Feb 10'!$A$65:$U$136</definedName>
    <definedName name="_45PAGE_2" localSheetId="20">'Feb 11'!$A$65:$U$135</definedName>
    <definedName name="_46PAGE_2" localSheetId="24">'Feb 12'!$A$65:$U$135</definedName>
    <definedName name="_47PAGE_2" localSheetId="28">'Feb 13'!$A$65:$U$136</definedName>
    <definedName name="_48PAGE_2" localSheetId="1">'May 06'!$A$65:$U$134</definedName>
    <definedName name="_49PAGE_2" localSheetId="5">'May 07'!$A$65:$U$135</definedName>
    <definedName name="_4PAGE_1" localSheetId="14">'Aug 09'!$A$1:$U$64</definedName>
    <definedName name="_50PAGE_2" localSheetId="9">'May 08'!$A$65:$U$136</definedName>
    <definedName name="_51PAGE_2" localSheetId="13">'May 09'!$A$65:$U$136</definedName>
    <definedName name="_52PAGE_2" localSheetId="17">'May 10'!$A$65:$U$135</definedName>
    <definedName name="_53PAGE_2" localSheetId="21">'May 11'!$A$65:$U$135</definedName>
    <definedName name="_54PAGE_2" localSheetId="25">'May 12'!$A$65:$U$135</definedName>
    <definedName name="_55PAGE_2" localSheetId="29">'May 13'!$A$65:$U$136</definedName>
    <definedName name="_56PAGE_2" localSheetId="3">'Nov 06'!$A$65:$U$134</definedName>
    <definedName name="_57PAGE_2" localSheetId="7">'Nov 07'!$A$65:$U$136</definedName>
    <definedName name="_58PAGE_2" localSheetId="11">'Nov 08'!$A$65:$U$136</definedName>
    <definedName name="_59PAGE_2" localSheetId="15">'Nov 09'!$A$65:$U$136</definedName>
    <definedName name="_5PAGE_1" localSheetId="30">'Aug 13'!$A$1:$U$64</definedName>
    <definedName name="_60PAGE_2" localSheetId="19">'Nov 10'!$A$65:$U$135</definedName>
    <definedName name="_61PAGE_2" localSheetId="23">'Nov 11'!$A$65:$U$135</definedName>
    <definedName name="_62PAGE_2" localSheetId="27">'Nov 12'!$A$65:$U$135</definedName>
    <definedName name="_63PAGE_2" localSheetId="38">'Aug 15'!$A$65:$U$136</definedName>
    <definedName name="_63PAGE_2" localSheetId="42">'Aug 16'!$A$65:$U$136</definedName>
    <definedName name="_63PAGE_2" localSheetId="46">'Aug 17'!$A$64:$U$135</definedName>
    <definedName name="_63PAGE_2" localSheetId="50">'Aug 18'!$A$64:$U$135</definedName>
    <definedName name="_63PAGE_2" localSheetId="54">'Aug 19'!$A$64:$U$138</definedName>
    <definedName name="_63PAGE_2" localSheetId="58">'Aug 20'!$A$64:$U$139</definedName>
    <definedName name="_63PAGE_2" localSheetId="34">'August 14'!$A$65:$U$136</definedName>
    <definedName name="_63PAGE_2" localSheetId="32">'Feb 14'!$A$65:$U$136</definedName>
    <definedName name="_63PAGE_2" localSheetId="36">'Feb 15'!$A$65:$U$136</definedName>
    <definedName name="_63PAGE_2" localSheetId="40">'Feb 16'!$A$65:$U$136</definedName>
    <definedName name="_63PAGE_2" localSheetId="44">'Feb 17'!$A$64:$U$135</definedName>
    <definedName name="_63PAGE_2" localSheetId="48">'Feb 18'!$A$64:$U$135</definedName>
    <definedName name="_63PAGE_2" localSheetId="52">'Feb 19'!$A$64:$U$135</definedName>
    <definedName name="_63PAGE_2" localSheetId="56">'Feb 20'!$A$64:$U$138</definedName>
    <definedName name="_63PAGE_2" localSheetId="33">'May 14'!$A$65:$U$136</definedName>
    <definedName name="_63PAGE_2" localSheetId="37">'May 15'!$A$65:$U$136</definedName>
    <definedName name="_63PAGE_2" localSheetId="41">'May 16'!$A$65:$U$136</definedName>
    <definedName name="_63PAGE_2" localSheetId="45">'May 17'!$A$64:$U$135</definedName>
    <definedName name="_63PAGE_2" localSheetId="49">'May 18'!$A$64:$U$135</definedName>
    <definedName name="_63PAGE_2" localSheetId="53">'May 19'!$A$64:$U$135</definedName>
    <definedName name="_63PAGE_2" localSheetId="57">'May 20'!$A$64:$U$138</definedName>
    <definedName name="_63PAGE_2" localSheetId="31">'Nov 13'!$A$65:$U$136</definedName>
    <definedName name="_63PAGE_2" localSheetId="35">'Nov 14'!$A$65:$U$136</definedName>
    <definedName name="_63PAGE_2" localSheetId="39">'Nov 15'!$A$65:$U$136</definedName>
    <definedName name="_63PAGE_2" localSheetId="43">'Nov 16'!$A$64:$U$135</definedName>
    <definedName name="_63PAGE_2" localSheetId="47">'Nov 17'!$A$64:$U$135</definedName>
    <definedName name="_63PAGE_2" localSheetId="51">'Nov 18'!$A$64:$U$135</definedName>
    <definedName name="_63PAGE_2" localSheetId="55">'Nov 19'!$A$64:$U$138</definedName>
    <definedName name="_64PAGE_2">'Feb 06'!$A$65:$U$134</definedName>
    <definedName name="_65PAGE_3" localSheetId="2">'Aug 06'!$A$135:$U$194</definedName>
    <definedName name="_66PAGE_3" localSheetId="6">'Aug 07'!$A$136:$U$195</definedName>
    <definedName name="_67PAGE_3" localSheetId="10">'Aug 08'!$A$137:$U$196</definedName>
    <definedName name="_68PAGE_3" localSheetId="14">'Aug 09'!$A$137:$U$196</definedName>
    <definedName name="_69PAGE_3" localSheetId="30">'Aug 13'!$A$137:$U$197</definedName>
    <definedName name="_6PAGE_1" localSheetId="18">'August 10'!$A$1:$U$64</definedName>
    <definedName name="_70PAGE_3" localSheetId="18">'August 10'!$A$136:$U$196</definedName>
    <definedName name="_71PAGE_3" localSheetId="22">'August 11'!$A$136:$U$196</definedName>
    <definedName name="_72PAGE_3" localSheetId="26">'August 12'!$A$136:$U$196</definedName>
    <definedName name="_73PAGE_3" localSheetId="4">'Feb 07'!$A$136:$U$195</definedName>
    <definedName name="_74PAGE_3" localSheetId="8">'Feb 08'!$A$137:$U$196</definedName>
    <definedName name="_75PAGE_3" localSheetId="12">'Feb 09'!$A$137:$U$196</definedName>
    <definedName name="_76PAGE_3" localSheetId="16">'Feb 10'!$A$137:$U$197</definedName>
    <definedName name="_77PAGE_3" localSheetId="20">'Feb 11'!$A$136:$U$196</definedName>
    <definedName name="_78PAGE_3" localSheetId="24">'Feb 12'!$A$136:$U$196</definedName>
    <definedName name="_79PAGE_3" localSheetId="28">'Feb 13'!$A$137:$U$197</definedName>
    <definedName name="_7PAGE_1" localSheetId="22">'August 11'!$A$1:$U$64</definedName>
    <definedName name="_80PAGE_3" localSheetId="1">'May 06'!$A$135:$U$194</definedName>
    <definedName name="_81PAGE_3" localSheetId="5">'May 07'!$A$136:$U$195</definedName>
    <definedName name="_82PAGE_3" localSheetId="9">'May 08'!$A$137:$U$196</definedName>
    <definedName name="_83PAGE_3" localSheetId="13">'May 09'!$A$137:$U$196</definedName>
    <definedName name="_84PAGE_3" localSheetId="17">'May 10'!$A$136:$U$196</definedName>
    <definedName name="_85PAGE_3" localSheetId="21">'May 11'!$A$136:$U$196</definedName>
    <definedName name="_86PAGE_3" localSheetId="25">'May 12'!$A$136:$U$196</definedName>
    <definedName name="_87PAGE_3" localSheetId="29">'May 13'!$A$137:$U$197</definedName>
    <definedName name="_88PAGE_3" localSheetId="3">'Nov 06'!$A$135:$U$194</definedName>
    <definedName name="_89PAGE_3" localSheetId="7">'Nov 07'!$A$137:$U$196</definedName>
    <definedName name="_8PAGE_1" localSheetId="26">'August 12'!$A$1:$U$64</definedName>
    <definedName name="_90PAGE_3" localSheetId="11">'Nov 08'!$A$137:$U$196</definedName>
    <definedName name="_91PAGE_3" localSheetId="15">'Nov 09'!$A$137:$U$197</definedName>
    <definedName name="_92PAGE_3" localSheetId="19">'Nov 10'!$A$136:$U$196</definedName>
    <definedName name="_93PAGE_3" localSheetId="23">'Nov 11'!$A$136:$U$196</definedName>
    <definedName name="_94PAGE_3" localSheetId="27">'Nov 12'!$A$136:$U$196</definedName>
    <definedName name="_95PAGE_3" localSheetId="38">'Aug 15'!$A$137:$U$197</definedName>
    <definedName name="_95PAGE_3" localSheetId="42">'Aug 16'!$A$137:$U$197</definedName>
    <definedName name="_95PAGE_3" localSheetId="46">'Aug 17'!$A$136:$U$196</definedName>
    <definedName name="_95PAGE_3" localSheetId="50">'Aug 18'!$A$136:$U$196</definedName>
    <definedName name="_95PAGE_3" localSheetId="54">'Aug 19'!$A$139:$U$199</definedName>
    <definedName name="_95PAGE_3" localSheetId="58">'Aug 20'!$A$140:$U$200</definedName>
    <definedName name="_95PAGE_3" localSheetId="34">'August 14'!$A$137:$U$197</definedName>
    <definedName name="_95PAGE_3" localSheetId="32">'Feb 14'!$A$137:$U$197</definedName>
    <definedName name="_95PAGE_3" localSheetId="36">'Feb 15'!$A$137:$U$197</definedName>
    <definedName name="_95PAGE_3" localSheetId="40">'Feb 16'!$A$137:$U$197</definedName>
    <definedName name="_95PAGE_3" localSheetId="44">'Feb 17'!$A$136:$U$196</definedName>
    <definedName name="_95PAGE_3" localSheetId="48">'Feb 18'!$A$136:$U$196</definedName>
    <definedName name="_95PAGE_3" localSheetId="52">'Feb 19'!$A$136:$U$196</definedName>
    <definedName name="_95PAGE_3" localSheetId="56">'Feb 20'!$A$139:$U$199</definedName>
    <definedName name="_95PAGE_3" localSheetId="33">'May 14'!$A$137:$U$197</definedName>
    <definedName name="_95PAGE_3" localSheetId="37">'May 15'!$A$137:$U$197</definedName>
    <definedName name="_95PAGE_3" localSheetId="41">'May 16'!$A$137:$U$197</definedName>
    <definedName name="_95PAGE_3" localSheetId="45">'May 17'!$A$136:$U$196</definedName>
    <definedName name="_95PAGE_3" localSheetId="49">'May 18'!$A$136:$U$196</definedName>
    <definedName name="_95PAGE_3" localSheetId="53">'May 19'!$A$136:$U$196</definedName>
    <definedName name="_95PAGE_3" localSheetId="57">'May 20'!$A$139:$U$199</definedName>
    <definedName name="_95PAGE_3" localSheetId="31">'Nov 13'!$A$137:$U$197</definedName>
    <definedName name="_95PAGE_3" localSheetId="35">'Nov 14'!$A$137:$U$197</definedName>
    <definedName name="_95PAGE_3" localSheetId="39">'Nov 15'!$A$137:$U$197</definedName>
    <definedName name="_95PAGE_3" localSheetId="43">'Nov 16'!$A$136:$U$196</definedName>
    <definedName name="_95PAGE_3" localSheetId="47">'Nov 17'!$A$136:$U$196</definedName>
    <definedName name="_95PAGE_3" localSheetId="51">'Nov 18'!$A$136:$U$196</definedName>
    <definedName name="_95PAGE_3" localSheetId="55">'Nov 19'!$A$139:$U$199</definedName>
    <definedName name="_96PAGE_3">'Feb 06'!$A$135:$U$193</definedName>
    <definedName name="_97PAGE_4" localSheetId="2">'Aug 06'!$A$195:$U$278</definedName>
    <definedName name="_98PAGE_4" localSheetId="6">'Aug 07'!$A$196:$U$279</definedName>
    <definedName name="_99PAGE_4" localSheetId="10">'Aug 08'!$A$197:$U$280</definedName>
    <definedName name="_9PAGE_1" localSheetId="4">'Feb 07'!$A$1:$U$64</definedName>
    <definedName name="_xlnm.Print_Area" localSheetId="2">'Aug 06'!$A$1:$V$279</definedName>
    <definedName name="_xlnm.Print_Area" localSheetId="6">'Aug 07'!$A$1:$V$280</definedName>
    <definedName name="_xlnm.Print_Area" localSheetId="10">'Aug 08'!$A$1:$V$281</definedName>
    <definedName name="_xlnm.Print_Area" localSheetId="14">'Aug 09'!$A$1:$V$281</definedName>
    <definedName name="_xlnm.Print_Area" localSheetId="30">'Aug 13'!$A$1:$V$294</definedName>
    <definedName name="_xlnm.Print_Area" localSheetId="38">'Aug 15'!$A$1:$V$294</definedName>
    <definedName name="_xlnm.Print_Area" localSheetId="42">'Aug 16'!$A$1:$V$294</definedName>
    <definedName name="_xlnm.Print_Area" localSheetId="46">'Aug 17'!$A$1:$V$297</definedName>
    <definedName name="_xlnm.Print_Area" localSheetId="50">'Aug 18'!$A$1:$V$297</definedName>
    <definedName name="_xlnm.Print_Area" localSheetId="54">'Aug 19'!$A$1:$V$300</definedName>
    <definedName name="_xlnm.Print_Area" localSheetId="58">'Aug 20'!$A$1:$V$328</definedName>
    <definedName name="_xlnm.Print_Area" localSheetId="18">'August 10'!$A$1:$V$293</definedName>
    <definedName name="_xlnm.Print_Area" localSheetId="22">'August 11'!$A$1:$V$293</definedName>
    <definedName name="_xlnm.Print_Area" localSheetId="26">'August 12'!$A$1:$V$293</definedName>
    <definedName name="_xlnm.Print_Area" localSheetId="34">'August 14'!$A$1:$V$294</definedName>
    <definedName name="_xlnm.Print_Area" localSheetId="0">'Feb 06'!$A$1:$V$278</definedName>
    <definedName name="_xlnm.Print_Area" localSheetId="4">'Feb 07'!$A$1:$V$280</definedName>
    <definedName name="_xlnm.Print_Area" localSheetId="8">'Feb 08'!$A$1:$V$281</definedName>
    <definedName name="_xlnm.Print_Area" localSheetId="12">'Feb 09'!$A$1:$V$281</definedName>
    <definedName name="_xlnm.Print_Area" localSheetId="16">'Feb 10'!$A$1:$V$282</definedName>
    <definedName name="_xlnm.Print_Area" localSheetId="20">'Feb 11'!$A$1:$V$293</definedName>
    <definedName name="_xlnm.Print_Area" localSheetId="24">'Feb 12'!$A$1:$V$293</definedName>
    <definedName name="_xlnm.Print_Area" localSheetId="28">'Feb 13'!$A$1:$V$294</definedName>
    <definedName name="_xlnm.Print_Area" localSheetId="32">'Feb 14'!$A$1:$V$294</definedName>
    <definedName name="_xlnm.Print_Area" localSheetId="36">'Feb 15'!$A$1:$V$294</definedName>
    <definedName name="_xlnm.Print_Area" localSheetId="40">'Feb 16'!$A$1:$V$294</definedName>
    <definedName name="_xlnm.Print_Area" localSheetId="44">'Feb 17'!$A$1:$V$297</definedName>
    <definedName name="_xlnm.Print_Area" localSheetId="48">'Feb 18'!$A$1:$V$297</definedName>
    <definedName name="_xlnm.Print_Area" localSheetId="52">'Feb 19'!$A$1:$V$297</definedName>
    <definedName name="_xlnm.Print_Area" localSheetId="56">'Feb 20'!$A$1:$V$300</definedName>
    <definedName name="_xlnm.Print_Area" localSheetId="1">'May 06'!$A$1:$V$279</definedName>
    <definedName name="_xlnm.Print_Area" localSheetId="5">'May 07'!$A$1:$V$279</definedName>
    <definedName name="_xlnm.Print_Area" localSheetId="9">'May 08'!$A$1:$V$281</definedName>
    <definedName name="_xlnm.Print_Area" localSheetId="13">'May 09'!$A$1:$V$281</definedName>
    <definedName name="_xlnm.Print_Area" localSheetId="17">'May 10'!$A$1:$V$281</definedName>
    <definedName name="_xlnm.Print_Area" localSheetId="21">'May 11'!$A$1:$V$293</definedName>
    <definedName name="_xlnm.Print_Area" localSheetId="25">'May 12'!$A$1:$V$293</definedName>
    <definedName name="_xlnm.Print_Area" localSheetId="29">'May 13'!$A$1:$V$294</definedName>
    <definedName name="_xlnm.Print_Area" localSheetId="33">'May 14'!$A$1:$V$294</definedName>
    <definedName name="_xlnm.Print_Area" localSheetId="37">'May 15'!$A$1:$V$294</definedName>
    <definedName name="_xlnm.Print_Area" localSheetId="41">'May 16'!$A$1:$V$294</definedName>
    <definedName name="_xlnm.Print_Area" localSheetId="45">'May 17'!$A$1:$V$297</definedName>
    <definedName name="_xlnm.Print_Area" localSheetId="49">'May 18'!$A$1:$V$297</definedName>
    <definedName name="_xlnm.Print_Area" localSheetId="53">'May 19'!$A$1:$V$297</definedName>
    <definedName name="_xlnm.Print_Area" localSheetId="57">'May 20'!$A$1:$V$325</definedName>
    <definedName name="_xlnm.Print_Area" localSheetId="3">'Nov 06'!$A$1:$V$279</definedName>
    <definedName name="_xlnm.Print_Area" localSheetId="7">'Nov 07'!$A$1:$V$281</definedName>
    <definedName name="_xlnm.Print_Area" localSheetId="11">'Nov 08'!$A$1:$V$281</definedName>
    <definedName name="_xlnm.Print_Area" localSheetId="15">'Nov 09'!$A$1:$V$282</definedName>
    <definedName name="_xlnm.Print_Area" localSheetId="19">'Nov 10'!$A$1:$V$293</definedName>
    <definedName name="_xlnm.Print_Area" localSheetId="23">'Nov 11'!$A$1:$V$293</definedName>
    <definedName name="_xlnm.Print_Area" localSheetId="27">'Nov 12'!$A$1:$V$293</definedName>
    <definedName name="_xlnm.Print_Area" localSheetId="31">'Nov 13'!$A$1:$V$294</definedName>
    <definedName name="_xlnm.Print_Area" localSheetId="35">'Nov 14'!$A$1:$V$294</definedName>
    <definedName name="_xlnm.Print_Area" localSheetId="39">'Nov 15'!$A$1:$V$294</definedName>
    <definedName name="_xlnm.Print_Area" localSheetId="43">'Nov 16'!$A$1:$V$298</definedName>
    <definedName name="_xlnm.Print_Area" localSheetId="47">'Nov 17'!$A$1:$V$297</definedName>
    <definedName name="_xlnm.Print_Area" localSheetId="51">'Nov 18'!$A$1:$V$297</definedName>
    <definedName name="_xlnm.Print_Area" localSheetId="55">'Nov 19'!$A$1:$V$300</definedName>
    <definedName name="_xlnm.Print_Area">'Feb 06'!$A$1:$U$64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5" i="62" l="1"/>
  <c r="T35" i="62" l="1"/>
  <c r="T104" i="62" l="1"/>
  <c r="T90" i="62"/>
  <c r="T89" i="62"/>
  <c r="R88" i="62"/>
  <c r="N44" i="62" l="1"/>
  <c r="J44" i="62"/>
  <c r="F44" i="62"/>
  <c r="D44" i="62"/>
  <c r="T96" i="62" l="1"/>
  <c r="T95" i="62"/>
  <c r="T152" i="62"/>
  <c r="R308" i="62" l="1"/>
  <c r="P308" i="62"/>
  <c r="S294" i="62"/>
  <c r="R294" i="62"/>
  <c r="Q294" i="62"/>
  <c r="P294" i="62"/>
  <c r="R282" i="62"/>
  <c r="P282" i="62"/>
  <c r="R272" i="62"/>
  <c r="P272" i="62"/>
  <c r="R260" i="62"/>
  <c r="P260" i="62"/>
  <c r="R246" i="62"/>
  <c r="P246" i="62"/>
  <c r="R245" i="62"/>
  <c r="P245" i="62"/>
  <c r="R244" i="62"/>
  <c r="P244" i="62"/>
  <c r="R243" i="62"/>
  <c r="P243" i="62"/>
  <c r="R242" i="62"/>
  <c r="P242" i="62"/>
  <c r="R241" i="62"/>
  <c r="P241" i="62"/>
  <c r="R240" i="62"/>
  <c r="P240" i="62"/>
  <c r="R239" i="62"/>
  <c r="P239" i="62"/>
  <c r="R225" i="62"/>
  <c r="R205" i="62"/>
  <c r="T185" i="62"/>
  <c r="T171" i="62"/>
  <c r="T170" i="62"/>
  <c r="B139" i="62"/>
  <c r="B200" i="62" s="1"/>
  <c r="B327" i="62" s="1"/>
  <c r="R127" i="62"/>
  <c r="R135" i="62" s="1"/>
  <c r="R125" i="62"/>
  <c r="R115" i="62"/>
  <c r="A115" i="62"/>
  <c r="A116" i="62" s="1"/>
  <c r="A117" i="62" s="1"/>
  <c r="A118" i="62" s="1"/>
  <c r="A119" i="62" s="1"/>
  <c r="A120" i="62" s="1"/>
  <c r="A121" i="62" s="1"/>
  <c r="A122" i="62" s="1"/>
  <c r="A123" i="62" s="1"/>
  <c r="A103" i="62"/>
  <c r="A104" i="62" s="1"/>
  <c r="R98" i="62"/>
  <c r="R97" i="62"/>
  <c r="T100" i="62"/>
  <c r="R96" i="62"/>
  <c r="R100" i="62" s="1"/>
  <c r="L86" i="62"/>
  <c r="T81" i="62"/>
  <c r="T80" i="62"/>
  <c r="R70" i="62"/>
  <c r="P70" i="62"/>
  <c r="N70" i="62"/>
  <c r="L70" i="62"/>
  <c r="L83" i="62" s="1"/>
  <c r="J70" i="62"/>
  <c r="J83" i="62" s="1"/>
  <c r="T67" i="62"/>
  <c r="T70" i="62" s="1"/>
  <c r="T178" i="62" s="1"/>
  <c r="P57" i="62"/>
  <c r="P56" i="62"/>
  <c r="T50" i="62"/>
  <c r="N43" i="62"/>
  <c r="J43" i="62"/>
  <c r="F43" i="62"/>
  <c r="D43" i="62"/>
  <c r="P36" i="62"/>
  <c r="N36" i="62"/>
  <c r="L36" i="62"/>
  <c r="J36" i="62"/>
  <c r="H36" i="62"/>
  <c r="F36" i="62"/>
  <c r="D36" i="62"/>
  <c r="P35" i="62"/>
  <c r="L35" i="62"/>
  <c r="H35" i="62"/>
  <c r="F35" i="62"/>
  <c r="D35" i="62"/>
  <c r="T34" i="62"/>
  <c r="T143" i="62" s="1"/>
  <c r="P33" i="62"/>
  <c r="N33" i="62"/>
  <c r="L33" i="62"/>
  <c r="J33" i="62"/>
  <c r="H33" i="62"/>
  <c r="F33" i="62"/>
  <c r="D33" i="62"/>
  <c r="P32" i="62"/>
  <c r="N32" i="62"/>
  <c r="N35" i="62" s="1"/>
  <c r="L32" i="62"/>
  <c r="J32" i="62"/>
  <c r="J35" i="62" s="1"/>
  <c r="H32" i="62"/>
  <c r="F32" i="62"/>
  <c r="D32" i="62"/>
  <c r="Q272" i="62" l="1"/>
  <c r="R296" i="62"/>
  <c r="P248" i="62"/>
  <c r="T52" i="62"/>
  <c r="R136" i="62"/>
  <c r="Q183" i="62"/>
  <c r="Q220" i="62"/>
  <c r="R248" i="62"/>
  <c r="T36" i="62"/>
  <c r="T172" i="62"/>
  <c r="R220" i="62"/>
  <c r="P296" i="62"/>
  <c r="T123" i="62"/>
  <c r="T136" i="62" s="1"/>
  <c r="T43" i="62"/>
  <c r="R208" i="62" s="1"/>
  <c r="T83" i="62"/>
  <c r="T179" i="62" s="1"/>
  <c r="S308" i="62"/>
  <c r="Q282" i="62" l="1"/>
  <c r="Q260" i="62"/>
  <c r="S272" i="62"/>
  <c r="S282" i="62"/>
  <c r="S260" i="62"/>
  <c r="Q308" i="62"/>
  <c r="S248" i="62" l="1"/>
  <c r="Q248" i="62"/>
  <c r="T103" i="61"/>
  <c r="T90" i="61"/>
  <c r="T89" i="61"/>
  <c r="R88" i="61"/>
  <c r="P281" i="61" l="1"/>
  <c r="Q274" i="61" s="1"/>
  <c r="R281" i="61"/>
  <c r="S274" i="61" s="1"/>
  <c r="Q276" i="61" l="1"/>
  <c r="Q279" i="61"/>
  <c r="S277" i="61"/>
  <c r="S275" i="61"/>
  <c r="S278" i="61"/>
  <c r="S279" i="61"/>
  <c r="S276" i="61"/>
  <c r="Q278" i="61"/>
  <c r="Q275" i="61"/>
  <c r="Q277" i="61"/>
  <c r="S281" i="61" l="1"/>
  <c r="Q281" i="61"/>
  <c r="R307" i="61"/>
  <c r="P307" i="61"/>
  <c r="S293" i="61"/>
  <c r="R293" i="61"/>
  <c r="Q293" i="61"/>
  <c r="P293" i="61"/>
  <c r="R271" i="61"/>
  <c r="S266" i="61" s="1"/>
  <c r="P271" i="61"/>
  <c r="Q269" i="61" s="1"/>
  <c r="R259" i="61"/>
  <c r="S256" i="61" s="1"/>
  <c r="P259" i="61"/>
  <c r="Q257" i="61" s="1"/>
  <c r="R245" i="61"/>
  <c r="P245" i="61"/>
  <c r="R244" i="61"/>
  <c r="P244" i="61"/>
  <c r="R243" i="61"/>
  <c r="P243" i="61"/>
  <c r="R242" i="61"/>
  <c r="P242" i="61"/>
  <c r="R241" i="61"/>
  <c r="P241" i="61"/>
  <c r="R240" i="61"/>
  <c r="P240" i="61"/>
  <c r="R239" i="61"/>
  <c r="P239" i="61"/>
  <c r="R238" i="61"/>
  <c r="P238" i="61"/>
  <c r="R224" i="61"/>
  <c r="R219" i="61"/>
  <c r="R214" i="61"/>
  <c r="R204" i="61"/>
  <c r="T184" i="61"/>
  <c r="T170" i="61"/>
  <c r="T169" i="61"/>
  <c r="T151" i="61"/>
  <c r="B138" i="61"/>
  <c r="B199" i="61" s="1"/>
  <c r="B324" i="61" s="1"/>
  <c r="R126" i="61"/>
  <c r="R124" i="61"/>
  <c r="R114" i="61"/>
  <c r="A114" i="61"/>
  <c r="A115" i="61" s="1"/>
  <c r="A116" i="61" s="1"/>
  <c r="A117" i="61" s="1"/>
  <c r="A118" i="61" s="1"/>
  <c r="A119" i="61" s="1"/>
  <c r="A120" i="61" s="1"/>
  <c r="A121" i="61" s="1"/>
  <c r="A122" i="61" s="1"/>
  <c r="A102" i="61"/>
  <c r="A103" i="61" s="1"/>
  <c r="R97" i="61"/>
  <c r="R96" i="61"/>
  <c r="T95" i="61"/>
  <c r="T99" i="61" s="1"/>
  <c r="R95" i="61"/>
  <c r="L86" i="61"/>
  <c r="T81" i="61"/>
  <c r="T80" i="61"/>
  <c r="R70" i="61"/>
  <c r="P70" i="61"/>
  <c r="N70" i="61"/>
  <c r="L70" i="61"/>
  <c r="L83" i="61" s="1"/>
  <c r="J70" i="61"/>
  <c r="J83" i="61" s="1"/>
  <c r="T67" i="61"/>
  <c r="T70" i="61" s="1"/>
  <c r="P57" i="61"/>
  <c r="P56" i="61"/>
  <c r="T50" i="61"/>
  <c r="D44" i="61"/>
  <c r="N43" i="61"/>
  <c r="J43" i="61"/>
  <c r="F43" i="61"/>
  <c r="D43" i="61"/>
  <c r="P36" i="61"/>
  <c r="N36" i="61"/>
  <c r="L36" i="61"/>
  <c r="J36" i="61"/>
  <c r="H36" i="61"/>
  <c r="F36" i="61"/>
  <c r="D36" i="61"/>
  <c r="P35" i="61"/>
  <c r="L35" i="61"/>
  <c r="H35" i="61"/>
  <c r="F35" i="61"/>
  <c r="D35" i="61"/>
  <c r="T34" i="61"/>
  <c r="Q182" i="61" s="1"/>
  <c r="P33" i="61"/>
  <c r="N33" i="61"/>
  <c r="L33" i="61"/>
  <c r="J33" i="61"/>
  <c r="H33" i="61"/>
  <c r="F33" i="61"/>
  <c r="D33" i="61"/>
  <c r="P32" i="61"/>
  <c r="N32" i="61"/>
  <c r="N35" i="61" s="1"/>
  <c r="L32" i="61"/>
  <c r="J32" i="61"/>
  <c r="J35" i="61" s="1"/>
  <c r="H32" i="61"/>
  <c r="F32" i="61"/>
  <c r="D32" i="61"/>
  <c r="Q302" i="61" l="1"/>
  <c r="Q298" i="61"/>
  <c r="Q300" i="61"/>
  <c r="Q303" i="61"/>
  <c r="Q305" i="61"/>
  <c r="Q301" i="61"/>
  <c r="Q304" i="61"/>
  <c r="Q299" i="61"/>
  <c r="T36" i="61"/>
  <c r="S302" i="61"/>
  <c r="S298" i="61"/>
  <c r="S300" i="61"/>
  <c r="S303" i="61"/>
  <c r="S305" i="61"/>
  <c r="S301" i="61"/>
  <c r="S299" i="61"/>
  <c r="S304" i="61"/>
  <c r="S264" i="61"/>
  <c r="Q250" i="61"/>
  <c r="S267" i="61"/>
  <c r="S268" i="61"/>
  <c r="S263" i="61"/>
  <c r="S269" i="61"/>
  <c r="S265" i="61"/>
  <c r="S262" i="61"/>
  <c r="Q262" i="61"/>
  <c r="Q264" i="61"/>
  <c r="Q266" i="61"/>
  <c r="Q219" i="61"/>
  <c r="Q263" i="61"/>
  <c r="Q265" i="61"/>
  <c r="S251" i="61"/>
  <c r="Q251" i="61"/>
  <c r="Q252" i="61"/>
  <c r="Q253" i="61"/>
  <c r="Q254" i="61"/>
  <c r="Q255" i="61"/>
  <c r="R99" i="61"/>
  <c r="Q256" i="61"/>
  <c r="S257" i="61"/>
  <c r="R134" i="61"/>
  <c r="T171" i="61"/>
  <c r="S253" i="61"/>
  <c r="S255" i="61"/>
  <c r="R295" i="61"/>
  <c r="R308" i="61" s="1"/>
  <c r="T51" i="61"/>
  <c r="Q268" i="61"/>
  <c r="R247" i="61"/>
  <c r="S238" i="61" s="1"/>
  <c r="S250" i="61"/>
  <c r="S252" i="61"/>
  <c r="S254" i="61"/>
  <c r="P295" i="61"/>
  <c r="P308" i="61" s="1"/>
  <c r="T83" i="61"/>
  <c r="T178" i="61" s="1"/>
  <c r="T177" i="61"/>
  <c r="T35" i="61"/>
  <c r="R208" i="61"/>
  <c r="T122" i="61"/>
  <c r="T134" i="61" s="1"/>
  <c r="T135" i="61" s="1"/>
  <c r="T194" i="61"/>
  <c r="T190" i="61"/>
  <c r="T192" i="61"/>
  <c r="T52" i="61"/>
  <c r="P247" i="61"/>
  <c r="Q241" i="61" s="1"/>
  <c r="T142" i="61"/>
  <c r="Q267" i="61"/>
  <c r="T103" i="60"/>
  <c r="T90" i="60"/>
  <c r="T89" i="60"/>
  <c r="R88" i="60"/>
  <c r="T43" i="61" l="1"/>
  <c r="R206" i="61" s="1"/>
  <c r="R207" i="61" s="1"/>
  <c r="S307" i="61"/>
  <c r="R135" i="61"/>
  <c r="S271" i="61"/>
  <c r="Q271" i="61"/>
  <c r="S241" i="61"/>
  <c r="S243" i="61"/>
  <c r="S259" i="61"/>
  <c r="Q259" i="61"/>
  <c r="S244" i="61"/>
  <c r="S240" i="61"/>
  <c r="S245" i="61"/>
  <c r="S239" i="61"/>
  <c r="S242" i="61"/>
  <c r="Q307" i="61"/>
  <c r="Q239" i="61"/>
  <c r="Q245" i="61"/>
  <c r="Q242" i="61"/>
  <c r="Q240" i="61"/>
  <c r="Q244" i="61"/>
  <c r="Q243" i="61"/>
  <c r="Q238" i="61"/>
  <c r="N44" i="60"/>
  <c r="J44" i="60"/>
  <c r="F44" i="60"/>
  <c r="S247" i="61" l="1"/>
  <c r="Q247" i="61"/>
  <c r="T172" i="60"/>
  <c r="S283" i="60" l="1"/>
  <c r="R283" i="60"/>
  <c r="Q283" i="60"/>
  <c r="P283" i="60"/>
  <c r="R271" i="60"/>
  <c r="S267" i="60" s="1"/>
  <c r="P271" i="60"/>
  <c r="Q269" i="60" s="1"/>
  <c r="Q266" i="60"/>
  <c r="Q265" i="60"/>
  <c r="Q264" i="60"/>
  <c r="Q262" i="60"/>
  <c r="R259" i="60"/>
  <c r="S256" i="60" s="1"/>
  <c r="P259" i="60"/>
  <c r="Q257" i="60" s="1"/>
  <c r="R245" i="60"/>
  <c r="P245" i="60"/>
  <c r="R244" i="60"/>
  <c r="P244" i="60"/>
  <c r="R243" i="60"/>
  <c r="P243" i="60"/>
  <c r="R242" i="60"/>
  <c r="P242" i="60"/>
  <c r="R241" i="60"/>
  <c r="P241" i="60"/>
  <c r="R240" i="60"/>
  <c r="P240" i="60"/>
  <c r="R239" i="60"/>
  <c r="P239" i="60"/>
  <c r="R238" i="60"/>
  <c r="P238" i="60"/>
  <c r="R224" i="60"/>
  <c r="Q219" i="60"/>
  <c r="R214" i="60"/>
  <c r="R204" i="60"/>
  <c r="T184" i="60"/>
  <c r="T170" i="60"/>
  <c r="T169" i="60"/>
  <c r="T151" i="60"/>
  <c r="B138" i="60"/>
  <c r="B199" i="60" s="1"/>
  <c r="B299" i="60" s="1"/>
  <c r="R126" i="60"/>
  <c r="R134" i="60" s="1"/>
  <c r="R124" i="60"/>
  <c r="A115" i="60"/>
  <c r="A116" i="60" s="1"/>
  <c r="A117" i="60" s="1"/>
  <c r="A118" i="60" s="1"/>
  <c r="A119" i="60" s="1"/>
  <c r="A120" i="60" s="1"/>
  <c r="A121" i="60" s="1"/>
  <c r="A122" i="60" s="1"/>
  <c r="R114" i="60"/>
  <c r="A114" i="60"/>
  <c r="A102" i="60"/>
  <c r="A103" i="60" s="1"/>
  <c r="R97" i="60"/>
  <c r="R96" i="60"/>
  <c r="R95" i="60"/>
  <c r="T95" i="60"/>
  <c r="T99" i="60" s="1"/>
  <c r="L86" i="60"/>
  <c r="T81" i="60"/>
  <c r="T80" i="60"/>
  <c r="R70" i="60"/>
  <c r="P70" i="60"/>
  <c r="N70" i="60"/>
  <c r="L70" i="60"/>
  <c r="L83" i="60" s="1"/>
  <c r="J70" i="60"/>
  <c r="J83" i="60" s="1"/>
  <c r="T67" i="60"/>
  <c r="T70" i="60" s="1"/>
  <c r="T177" i="60" s="1"/>
  <c r="P57" i="60"/>
  <c r="P56" i="60"/>
  <c r="T50" i="60"/>
  <c r="D44" i="60"/>
  <c r="N43" i="60"/>
  <c r="J43" i="60"/>
  <c r="F43" i="60"/>
  <c r="D43" i="60"/>
  <c r="P36" i="60"/>
  <c r="N36" i="60"/>
  <c r="L36" i="60"/>
  <c r="J36" i="60"/>
  <c r="H36" i="60"/>
  <c r="F36" i="60"/>
  <c r="D36" i="60"/>
  <c r="P35" i="60"/>
  <c r="L35" i="60"/>
  <c r="H35" i="60"/>
  <c r="F35" i="60"/>
  <c r="D35" i="60"/>
  <c r="T34" i="60"/>
  <c r="T52" i="60" s="1"/>
  <c r="P33" i="60"/>
  <c r="N33" i="60"/>
  <c r="L33" i="60"/>
  <c r="J33" i="60"/>
  <c r="H33" i="60"/>
  <c r="F33" i="60"/>
  <c r="D33" i="60"/>
  <c r="P32" i="60"/>
  <c r="N32" i="60"/>
  <c r="N35" i="60" s="1"/>
  <c r="L32" i="60"/>
  <c r="J32" i="60"/>
  <c r="J35" i="60" s="1"/>
  <c r="H32" i="60"/>
  <c r="F32" i="60"/>
  <c r="D32" i="60"/>
  <c r="T142" i="60" l="1"/>
  <c r="Q182" i="60"/>
  <c r="R99" i="60"/>
  <c r="Q263" i="60"/>
  <c r="Q268" i="60"/>
  <c r="S257" i="60"/>
  <c r="T171" i="60"/>
  <c r="R135" i="60"/>
  <c r="T36" i="60"/>
  <c r="T51" i="60"/>
  <c r="S268" i="60"/>
  <c r="S262" i="60"/>
  <c r="S264" i="60"/>
  <c r="S266" i="60"/>
  <c r="S269" i="60"/>
  <c r="R219" i="60"/>
  <c r="S263" i="60"/>
  <c r="S265" i="60"/>
  <c r="Q267" i="60"/>
  <c r="Q271" i="60" s="1"/>
  <c r="S250" i="60"/>
  <c r="R247" i="60"/>
  <c r="S239" i="60" s="1"/>
  <c r="S252" i="60"/>
  <c r="S253" i="60"/>
  <c r="S254" i="60"/>
  <c r="S251" i="60"/>
  <c r="S255" i="60"/>
  <c r="R285" i="60"/>
  <c r="Q251" i="60"/>
  <c r="Q253" i="60"/>
  <c r="Q255" i="60"/>
  <c r="Q250" i="60"/>
  <c r="Q252" i="60"/>
  <c r="Q254" i="60"/>
  <c r="Q256" i="60"/>
  <c r="P285" i="60"/>
  <c r="T194" i="60"/>
  <c r="T190" i="60"/>
  <c r="R208" i="60"/>
  <c r="T192" i="60"/>
  <c r="T122" i="60"/>
  <c r="T134" i="60" s="1"/>
  <c r="T135" i="60" s="1"/>
  <c r="T35" i="60"/>
  <c r="T43" i="60" s="1"/>
  <c r="R206" i="60" s="1"/>
  <c r="R207" i="60" s="1"/>
  <c r="T83" i="60"/>
  <c r="T178" i="60" s="1"/>
  <c r="P247" i="60"/>
  <c r="Q244" i="60" s="1"/>
  <c r="T103" i="59"/>
  <c r="T90" i="59"/>
  <c r="T89" i="59"/>
  <c r="R88" i="59"/>
  <c r="Q259" i="60" l="1"/>
  <c r="S271" i="60"/>
  <c r="S242" i="60"/>
  <c r="S245" i="60"/>
  <c r="S238" i="60"/>
  <c r="S243" i="60"/>
  <c r="S240" i="60"/>
  <c r="S244" i="60"/>
  <c r="S241" i="60"/>
  <c r="S259" i="60"/>
  <c r="Q241" i="60"/>
  <c r="Q239" i="60"/>
  <c r="Q242" i="60"/>
  <c r="Q240" i="60"/>
  <c r="Q245" i="60"/>
  <c r="Q238" i="60"/>
  <c r="S247" i="60"/>
  <c r="Q243" i="60"/>
  <c r="N44" i="59"/>
  <c r="J44" i="59"/>
  <c r="F44" i="59"/>
  <c r="D44" i="59"/>
  <c r="Q247" i="60" l="1"/>
  <c r="S283" i="59"/>
  <c r="R283" i="59"/>
  <c r="Q283" i="59"/>
  <c r="P283" i="59"/>
  <c r="R271" i="59"/>
  <c r="S266" i="59" s="1"/>
  <c r="P271" i="59"/>
  <c r="Q219" i="59" s="1"/>
  <c r="Q262" i="59"/>
  <c r="R259" i="59"/>
  <c r="S256" i="59" s="1"/>
  <c r="P259" i="59"/>
  <c r="Q257" i="59" s="1"/>
  <c r="R245" i="59"/>
  <c r="P245" i="59"/>
  <c r="R244" i="59"/>
  <c r="P244" i="59"/>
  <c r="R243" i="59"/>
  <c r="P243" i="59"/>
  <c r="R242" i="59"/>
  <c r="P242" i="59"/>
  <c r="R241" i="59"/>
  <c r="P241" i="59"/>
  <c r="R240" i="59"/>
  <c r="P240" i="59"/>
  <c r="R239" i="59"/>
  <c r="P239" i="59"/>
  <c r="R238" i="59"/>
  <c r="P238" i="59"/>
  <c r="R224" i="59"/>
  <c r="R204" i="59"/>
  <c r="T184" i="59"/>
  <c r="T170" i="59"/>
  <c r="T169" i="59"/>
  <c r="T151" i="59"/>
  <c r="B138" i="59"/>
  <c r="B199" i="59" s="1"/>
  <c r="B299" i="59" s="1"/>
  <c r="R126" i="59"/>
  <c r="R124" i="59"/>
  <c r="R134" i="59" s="1"/>
  <c r="R114" i="59"/>
  <c r="A114" i="59"/>
  <c r="A115" i="59" s="1"/>
  <c r="A116" i="59" s="1"/>
  <c r="A117" i="59" s="1"/>
  <c r="A118" i="59" s="1"/>
  <c r="A119" i="59" s="1"/>
  <c r="A120" i="59" s="1"/>
  <c r="A121" i="59" s="1"/>
  <c r="A122" i="59" s="1"/>
  <c r="A102" i="59"/>
  <c r="A103" i="59" s="1"/>
  <c r="R97" i="59"/>
  <c r="R96" i="59"/>
  <c r="R95" i="59"/>
  <c r="T95" i="59"/>
  <c r="T99" i="59" s="1"/>
  <c r="L86" i="59"/>
  <c r="T81" i="59"/>
  <c r="T80" i="59"/>
  <c r="R70" i="59"/>
  <c r="P70" i="59"/>
  <c r="L70" i="59"/>
  <c r="L83" i="59" s="1"/>
  <c r="J70" i="59"/>
  <c r="J83" i="59" s="1"/>
  <c r="N70" i="59"/>
  <c r="P57" i="59"/>
  <c r="P56" i="59"/>
  <c r="T50" i="59"/>
  <c r="N43" i="59"/>
  <c r="J43" i="59"/>
  <c r="F43" i="59"/>
  <c r="D43" i="59"/>
  <c r="P36" i="59"/>
  <c r="N36" i="59"/>
  <c r="L36" i="59"/>
  <c r="J36" i="59"/>
  <c r="H36" i="59"/>
  <c r="F36" i="59"/>
  <c r="D36" i="59"/>
  <c r="P35" i="59"/>
  <c r="L35" i="59"/>
  <c r="H35" i="59"/>
  <c r="F35" i="59"/>
  <c r="D35" i="59"/>
  <c r="T34" i="59"/>
  <c r="Q182" i="59" s="1"/>
  <c r="P33" i="59"/>
  <c r="N33" i="59"/>
  <c r="L33" i="59"/>
  <c r="J33" i="59"/>
  <c r="H33" i="59"/>
  <c r="F33" i="59"/>
  <c r="D33" i="59"/>
  <c r="P32" i="59"/>
  <c r="N32" i="59"/>
  <c r="N35" i="59" s="1"/>
  <c r="L32" i="59"/>
  <c r="J32" i="59"/>
  <c r="J35" i="59" s="1"/>
  <c r="H32" i="59"/>
  <c r="F32" i="59"/>
  <c r="D32" i="59"/>
  <c r="R99" i="59" l="1"/>
  <c r="T142" i="59"/>
  <c r="T171" i="59"/>
  <c r="R135" i="59"/>
  <c r="T36" i="59"/>
  <c r="T51" i="59"/>
  <c r="T35" i="59"/>
  <c r="T43" i="59" s="1"/>
  <c r="R206" i="59" s="1"/>
  <c r="R207" i="59" s="1"/>
  <c r="S263" i="59"/>
  <c r="S267" i="59"/>
  <c r="S264" i="59"/>
  <c r="S268" i="59"/>
  <c r="R219" i="59"/>
  <c r="S265" i="59"/>
  <c r="S269" i="59"/>
  <c r="S262" i="59"/>
  <c r="Q264" i="59"/>
  <c r="Q265" i="59"/>
  <c r="Q263" i="59"/>
  <c r="Q266" i="59"/>
  <c r="Q268" i="59"/>
  <c r="Q267" i="59"/>
  <c r="Q269" i="59"/>
  <c r="S255" i="59"/>
  <c r="R247" i="59"/>
  <c r="S242" i="59" s="1"/>
  <c r="S251" i="59"/>
  <c r="S253" i="59"/>
  <c r="S257" i="59"/>
  <c r="S250" i="59"/>
  <c r="S254" i="59"/>
  <c r="S252" i="59"/>
  <c r="R285" i="59"/>
  <c r="Q250" i="59"/>
  <c r="Q252" i="59"/>
  <c r="Q254" i="59"/>
  <c r="Q256" i="59"/>
  <c r="Q251" i="59"/>
  <c r="Q253" i="59"/>
  <c r="Q255" i="59"/>
  <c r="P285" i="59"/>
  <c r="R208" i="59"/>
  <c r="T122" i="59"/>
  <c r="T134" i="59" s="1"/>
  <c r="T135" i="59" s="1"/>
  <c r="T194" i="59"/>
  <c r="T192" i="59"/>
  <c r="T190" i="59"/>
  <c r="R214" i="59"/>
  <c r="T52" i="59"/>
  <c r="T67" i="59"/>
  <c r="T70" i="59" s="1"/>
  <c r="P247" i="59"/>
  <c r="Q240" i="59" s="1"/>
  <c r="S271" i="59" l="1"/>
  <c r="S245" i="59"/>
  <c r="S243" i="59"/>
  <c r="S244" i="59"/>
  <c r="Q271" i="59"/>
  <c r="S259" i="59"/>
  <c r="S238" i="59"/>
  <c r="S239" i="59"/>
  <c r="S241" i="59"/>
  <c r="S240" i="59"/>
  <c r="Q259" i="59"/>
  <c r="T83" i="59"/>
  <c r="T178" i="59" s="1"/>
  <c r="T177" i="59"/>
  <c r="Q245" i="59"/>
  <c r="Q244" i="59"/>
  <c r="Q238" i="59"/>
  <c r="Q243" i="59"/>
  <c r="Q242" i="59"/>
  <c r="Q239" i="59"/>
  <c r="Q241" i="59"/>
  <c r="S247" i="59" l="1"/>
  <c r="Q247" i="59"/>
  <c r="T50" i="58"/>
  <c r="T103" i="58" l="1"/>
  <c r="T90" i="58"/>
  <c r="T89" i="58"/>
  <c r="R88" i="58"/>
  <c r="N67" i="58"/>
  <c r="T67" i="58" s="1"/>
  <c r="N44" i="58" l="1"/>
  <c r="J44" i="58"/>
  <c r="F44" i="58"/>
  <c r="D44" i="58"/>
  <c r="S283" i="58" l="1"/>
  <c r="R283" i="58"/>
  <c r="Q283" i="58"/>
  <c r="P283" i="58"/>
  <c r="R271" i="58"/>
  <c r="S266" i="58" s="1"/>
  <c r="P271" i="58"/>
  <c r="Q267" i="58" s="1"/>
  <c r="R259" i="58"/>
  <c r="S256" i="58" s="1"/>
  <c r="P259" i="58"/>
  <c r="Q255" i="58" s="1"/>
  <c r="R245" i="58"/>
  <c r="P245" i="58"/>
  <c r="R244" i="58"/>
  <c r="P244" i="58"/>
  <c r="R243" i="58"/>
  <c r="P243" i="58"/>
  <c r="R242" i="58"/>
  <c r="P242" i="58"/>
  <c r="R241" i="58"/>
  <c r="P241" i="58"/>
  <c r="R240" i="58"/>
  <c r="P240" i="58"/>
  <c r="R239" i="58"/>
  <c r="P239" i="58"/>
  <c r="R238" i="58"/>
  <c r="P238" i="58"/>
  <c r="R224" i="58"/>
  <c r="R214" i="58"/>
  <c r="R204" i="58"/>
  <c r="T184" i="58"/>
  <c r="T170" i="58"/>
  <c r="T169" i="58"/>
  <c r="T171" i="58" s="1"/>
  <c r="T151" i="58"/>
  <c r="B138" i="58"/>
  <c r="B199" i="58" s="1"/>
  <c r="B299" i="58" s="1"/>
  <c r="R126" i="58"/>
  <c r="R124" i="58"/>
  <c r="R134" i="58" s="1"/>
  <c r="R114" i="58"/>
  <c r="A114" i="58"/>
  <c r="A115" i="58" s="1"/>
  <c r="A116" i="58" s="1"/>
  <c r="A117" i="58" s="1"/>
  <c r="A118" i="58" s="1"/>
  <c r="A119" i="58" s="1"/>
  <c r="A120" i="58" s="1"/>
  <c r="A121" i="58" s="1"/>
  <c r="A122" i="58" s="1"/>
  <c r="A102" i="58"/>
  <c r="A103" i="58" s="1"/>
  <c r="R97" i="58"/>
  <c r="R96" i="58"/>
  <c r="R95" i="58"/>
  <c r="R99" i="58" s="1"/>
  <c r="T95" i="58"/>
  <c r="T99" i="58" s="1"/>
  <c r="T122" i="58" s="1"/>
  <c r="T134" i="58" s="1"/>
  <c r="L86" i="58"/>
  <c r="T81" i="58"/>
  <c r="T80" i="58"/>
  <c r="R70" i="58"/>
  <c r="P70" i="58"/>
  <c r="N70" i="58"/>
  <c r="L70" i="58"/>
  <c r="L83" i="58" s="1"/>
  <c r="J70" i="58"/>
  <c r="J83" i="58" s="1"/>
  <c r="T70" i="58"/>
  <c r="T177" i="58" s="1"/>
  <c r="P57" i="58"/>
  <c r="P56" i="58"/>
  <c r="N43" i="58"/>
  <c r="J43" i="58"/>
  <c r="F43" i="58"/>
  <c r="D43" i="58"/>
  <c r="P36" i="58"/>
  <c r="N36" i="58"/>
  <c r="L36" i="58"/>
  <c r="J36" i="58"/>
  <c r="T51" i="58" s="1"/>
  <c r="H36" i="58"/>
  <c r="F36" i="58"/>
  <c r="D36" i="58"/>
  <c r="P35" i="58"/>
  <c r="L35" i="58"/>
  <c r="H35" i="58"/>
  <c r="F35" i="58"/>
  <c r="D35" i="58"/>
  <c r="T34" i="58"/>
  <c r="P33" i="58"/>
  <c r="N33" i="58"/>
  <c r="L33" i="58"/>
  <c r="J33" i="58"/>
  <c r="H33" i="58"/>
  <c r="F33" i="58"/>
  <c r="D33" i="58"/>
  <c r="P32" i="58"/>
  <c r="N32" i="58"/>
  <c r="N35" i="58" s="1"/>
  <c r="L32" i="58"/>
  <c r="J32" i="58"/>
  <c r="J35" i="58" s="1"/>
  <c r="H32" i="58"/>
  <c r="F32" i="58"/>
  <c r="D32" i="58"/>
  <c r="Q182" i="58" l="1"/>
  <c r="T52" i="58"/>
  <c r="Q251" i="58"/>
  <c r="T35" i="58"/>
  <c r="R135" i="58"/>
  <c r="T36" i="58"/>
  <c r="S263" i="58"/>
  <c r="S267" i="58"/>
  <c r="S264" i="58"/>
  <c r="S268" i="58"/>
  <c r="R219" i="58"/>
  <c r="S265" i="58"/>
  <c r="S269" i="58"/>
  <c r="S262" i="58"/>
  <c r="Q219" i="58"/>
  <c r="Q262" i="58"/>
  <c r="Q265" i="58"/>
  <c r="Q263" i="58"/>
  <c r="Q268" i="58"/>
  <c r="Q264" i="58"/>
  <c r="Q266" i="58"/>
  <c r="Q269" i="58"/>
  <c r="S254" i="58"/>
  <c r="R247" i="58"/>
  <c r="S242" i="58" s="1"/>
  <c r="S252" i="58"/>
  <c r="S257" i="58"/>
  <c r="S250" i="58"/>
  <c r="S253" i="58"/>
  <c r="S251" i="58"/>
  <c r="S255" i="58"/>
  <c r="R285" i="58"/>
  <c r="Q253" i="58"/>
  <c r="Q252" i="58"/>
  <c r="Q250" i="58"/>
  <c r="Q254" i="58"/>
  <c r="Q256" i="58"/>
  <c r="Q257" i="58"/>
  <c r="P285" i="58"/>
  <c r="T43" i="58"/>
  <c r="R206" i="58" s="1"/>
  <c r="R207" i="58" s="1"/>
  <c r="R208" i="58"/>
  <c r="T135" i="58"/>
  <c r="T194" i="58"/>
  <c r="T192" i="58"/>
  <c r="T190" i="58"/>
  <c r="T83" i="58"/>
  <c r="T178" i="58" s="1"/>
  <c r="P247" i="58"/>
  <c r="Q244" i="58" s="1"/>
  <c r="T142" i="58"/>
  <c r="R211" i="57"/>
  <c r="Q259" i="58" l="1"/>
  <c r="S243" i="58"/>
  <c r="S244" i="58"/>
  <c r="S245" i="58"/>
  <c r="S238" i="58"/>
  <c r="S241" i="58"/>
  <c r="S240" i="58"/>
  <c r="S239" i="58"/>
  <c r="S271" i="58"/>
  <c r="Q271" i="58"/>
  <c r="S259" i="58"/>
  <c r="Q239" i="58"/>
  <c r="Q242" i="58"/>
  <c r="Q245" i="58"/>
  <c r="Q240" i="58"/>
  <c r="Q243" i="58"/>
  <c r="Q238" i="58"/>
  <c r="Q241" i="58"/>
  <c r="T67" i="57"/>
  <c r="S247" i="58" l="1"/>
  <c r="Q247" i="58"/>
  <c r="T106" i="57"/>
  <c r="T103" i="57"/>
  <c r="T90" i="57"/>
  <c r="T89" i="57"/>
  <c r="R88" i="57"/>
  <c r="N44" i="57" l="1"/>
  <c r="J44" i="57"/>
  <c r="F44" i="57"/>
  <c r="D44" i="57"/>
  <c r="S280" i="57" l="1"/>
  <c r="R280" i="57"/>
  <c r="Q280" i="57"/>
  <c r="P280" i="57"/>
  <c r="R268" i="57"/>
  <c r="S265" i="57" s="1"/>
  <c r="P268" i="57"/>
  <c r="Q264" i="57" s="1"/>
  <c r="R256" i="57"/>
  <c r="S253" i="57" s="1"/>
  <c r="P256" i="57"/>
  <c r="Q254" i="57" s="1"/>
  <c r="R242" i="57"/>
  <c r="P242" i="57"/>
  <c r="R241" i="57"/>
  <c r="P241" i="57"/>
  <c r="R240" i="57"/>
  <c r="P240" i="57"/>
  <c r="R239" i="57"/>
  <c r="P239" i="57"/>
  <c r="R238" i="57"/>
  <c r="P238" i="57"/>
  <c r="R237" i="57"/>
  <c r="P237" i="57"/>
  <c r="R236" i="57"/>
  <c r="P236" i="57"/>
  <c r="R235" i="57"/>
  <c r="P235" i="57"/>
  <c r="R221" i="57"/>
  <c r="R201" i="57"/>
  <c r="T181" i="57"/>
  <c r="T169" i="57"/>
  <c r="T167" i="57"/>
  <c r="T166" i="57"/>
  <c r="T148" i="57"/>
  <c r="B135" i="57"/>
  <c r="B196" i="57" s="1"/>
  <c r="B296" i="57" s="1"/>
  <c r="R123" i="57"/>
  <c r="R121" i="57"/>
  <c r="R131" i="57" s="1"/>
  <c r="R114" i="57"/>
  <c r="A114" i="57"/>
  <c r="A115" i="57" s="1"/>
  <c r="A116" i="57" s="1"/>
  <c r="A117" i="57" s="1"/>
  <c r="A118" i="57" s="1"/>
  <c r="A119" i="57" s="1"/>
  <c r="A102" i="57"/>
  <c r="A103" i="57" s="1"/>
  <c r="R97" i="57"/>
  <c r="R96" i="57"/>
  <c r="T95" i="57"/>
  <c r="T99" i="57" s="1"/>
  <c r="R95" i="57"/>
  <c r="L86" i="57"/>
  <c r="T81" i="57"/>
  <c r="T80" i="57"/>
  <c r="R70" i="57"/>
  <c r="P70" i="57"/>
  <c r="L70" i="57"/>
  <c r="L83" i="57" s="1"/>
  <c r="J70" i="57"/>
  <c r="J83" i="57" s="1"/>
  <c r="N70" i="57"/>
  <c r="P57" i="57"/>
  <c r="P56" i="57"/>
  <c r="T50" i="57"/>
  <c r="N43" i="57"/>
  <c r="J43" i="57"/>
  <c r="F43" i="57"/>
  <c r="D43" i="57"/>
  <c r="P36" i="57"/>
  <c r="N36" i="57"/>
  <c r="L36" i="57"/>
  <c r="J36" i="57"/>
  <c r="H36" i="57"/>
  <c r="F36" i="57"/>
  <c r="D36" i="57"/>
  <c r="P35" i="57"/>
  <c r="L35" i="57"/>
  <c r="H35" i="57"/>
  <c r="F35" i="57"/>
  <c r="D35" i="57"/>
  <c r="T34" i="57"/>
  <c r="Q179" i="57" s="1"/>
  <c r="P33" i="57"/>
  <c r="N33" i="57"/>
  <c r="L33" i="57"/>
  <c r="J33" i="57"/>
  <c r="H33" i="57"/>
  <c r="F33" i="57"/>
  <c r="D33" i="57"/>
  <c r="P32" i="57"/>
  <c r="N32" i="57"/>
  <c r="N35" i="57" s="1"/>
  <c r="L32" i="57"/>
  <c r="J32" i="57"/>
  <c r="J35" i="57" s="1"/>
  <c r="H32" i="57"/>
  <c r="F32" i="57"/>
  <c r="D32" i="57"/>
  <c r="T168" i="57" l="1"/>
  <c r="T35" i="57"/>
  <c r="T36" i="57"/>
  <c r="R99" i="57"/>
  <c r="R132" i="57" s="1"/>
  <c r="T51" i="57"/>
  <c r="T70" i="57"/>
  <c r="T174" i="57" s="1"/>
  <c r="S262" i="57"/>
  <c r="S264" i="57"/>
  <c r="S266" i="57"/>
  <c r="R216" i="57"/>
  <c r="S260" i="57"/>
  <c r="Q262" i="57"/>
  <c r="Q216" i="57"/>
  <c r="Q259" i="57"/>
  <c r="Q260" i="57"/>
  <c r="Q265" i="57"/>
  <c r="Q263" i="57"/>
  <c r="Q266" i="57"/>
  <c r="Q261" i="57"/>
  <c r="S250" i="57"/>
  <c r="R244" i="57"/>
  <c r="S242" i="57" s="1"/>
  <c r="S254" i="57"/>
  <c r="S248" i="57"/>
  <c r="S252" i="57"/>
  <c r="R282" i="57"/>
  <c r="Q249" i="57"/>
  <c r="Q247" i="57"/>
  <c r="Q250" i="57"/>
  <c r="Q252" i="57"/>
  <c r="P282" i="57"/>
  <c r="Q253" i="57"/>
  <c r="Q248" i="57"/>
  <c r="Q251" i="57"/>
  <c r="T43" i="57"/>
  <c r="R203" i="57" s="1"/>
  <c r="R204" i="57" s="1"/>
  <c r="R205" i="57"/>
  <c r="T119" i="57"/>
  <c r="T131" i="57" s="1"/>
  <c r="T132" i="57" s="1"/>
  <c r="T191" i="57"/>
  <c r="T189" i="57"/>
  <c r="T187" i="57"/>
  <c r="P244" i="57"/>
  <c r="Q241" i="57" s="1"/>
  <c r="T52" i="57"/>
  <c r="S247" i="57"/>
  <c r="S249" i="57"/>
  <c r="S251" i="57"/>
  <c r="S259" i="57"/>
  <c r="S261" i="57"/>
  <c r="S263" i="57"/>
  <c r="T139" i="57"/>
  <c r="R88" i="56"/>
  <c r="T83" i="57" l="1"/>
  <c r="T175" i="57" s="1"/>
  <c r="S235" i="57"/>
  <c r="S239" i="57"/>
  <c r="S236" i="57"/>
  <c r="S268" i="57"/>
  <c r="S241" i="57"/>
  <c r="S237" i="57"/>
  <c r="S238" i="57"/>
  <c r="S240" i="57"/>
  <c r="Q268" i="57"/>
  <c r="Q256" i="57"/>
  <c r="Q237" i="57"/>
  <c r="Q240" i="57"/>
  <c r="Q238" i="57"/>
  <c r="Q239" i="57"/>
  <c r="Q236" i="57"/>
  <c r="Q235" i="57"/>
  <c r="S256" i="57"/>
  <c r="Q242" i="57"/>
  <c r="T169" i="56"/>
  <c r="N67" i="56"/>
  <c r="S244" i="57" l="1"/>
  <c r="Q244" i="57"/>
  <c r="T106" i="56"/>
  <c r="T103" i="56"/>
  <c r="T90" i="56"/>
  <c r="T89" i="56"/>
  <c r="N44" i="56" l="1"/>
  <c r="J44" i="56"/>
  <c r="F44" i="56"/>
  <c r="D44" i="56"/>
  <c r="S280" i="56" l="1"/>
  <c r="R280" i="56"/>
  <c r="Q280" i="56"/>
  <c r="P280" i="56"/>
  <c r="R268" i="56"/>
  <c r="S265" i="56" s="1"/>
  <c r="P268" i="56"/>
  <c r="Q264" i="56" s="1"/>
  <c r="Q266" i="56"/>
  <c r="Q265" i="56"/>
  <c r="S263" i="56"/>
  <c r="Q263" i="56"/>
  <c r="Q262" i="56"/>
  <c r="S261" i="56"/>
  <c r="S259" i="56"/>
  <c r="R256" i="56"/>
  <c r="S253" i="56" s="1"/>
  <c r="P256" i="56"/>
  <c r="Q254" i="56" s="1"/>
  <c r="R242" i="56"/>
  <c r="P242" i="56"/>
  <c r="R241" i="56"/>
  <c r="P241" i="56"/>
  <c r="R240" i="56"/>
  <c r="P240" i="56"/>
  <c r="R239" i="56"/>
  <c r="P239" i="56"/>
  <c r="R238" i="56"/>
  <c r="P238" i="56"/>
  <c r="R237" i="56"/>
  <c r="P237" i="56"/>
  <c r="R236" i="56"/>
  <c r="P236" i="56"/>
  <c r="R235" i="56"/>
  <c r="P235" i="56"/>
  <c r="R221" i="56"/>
  <c r="R216" i="56"/>
  <c r="R201" i="56"/>
  <c r="T181" i="56"/>
  <c r="T167" i="56"/>
  <c r="T166" i="56"/>
  <c r="T148" i="56"/>
  <c r="B135" i="56"/>
  <c r="B196" i="56" s="1"/>
  <c r="B296" i="56" s="1"/>
  <c r="R123" i="56"/>
  <c r="R121" i="56"/>
  <c r="R114" i="56"/>
  <c r="A114" i="56"/>
  <c r="A115" i="56" s="1"/>
  <c r="A116" i="56" s="1"/>
  <c r="A117" i="56" s="1"/>
  <c r="A118" i="56" s="1"/>
  <c r="A119" i="56" s="1"/>
  <c r="A102" i="56"/>
  <c r="A103" i="56" s="1"/>
  <c r="R97" i="56"/>
  <c r="R96" i="56"/>
  <c r="T95" i="56"/>
  <c r="T99" i="56" s="1"/>
  <c r="R95" i="56"/>
  <c r="L86" i="56"/>
  <c r="T81" i="56"/>
  <c r="T80" i="56"/>
  <c r="R70" i="56"/>
  <c r="P70" i="56"/>
  <c r="L70" i="56"/>
  <c r="L83" i="56" s="1"/>
  <c r="J70" i="56"/>
  <c r="J83" i="56" s="1"/>
  <c r="N70" i="56"/>
  <c r="P57" i="56"/>
  <c r="P56" i="56"/>
  <c r="T50" i="56"/>
  <c r="N43" i="56"/>
  <c r="J43" i="56"/>
  <c r="F43" i="56"/>
  <c r="D43" i="56"/>
  <c r="P36" i="56"/>
  <c r="N36" i="56"/>
  <c r="L36" i="56"/>
  <c r="J36" i="56"/>
  <c r="H36" i="56"/>
  <c r="F36" i="56"/>
  <c r="D36" i="56"/>
  <c r="P35" i="56"/>
  <c r="L35" i="56"/>
  <c r="H35" i="56"/>
  <c r="F35" i="56"/>
  <c r="D35" i="56"/>
  <c r="T34" i="56"/>
  <c r="Q179" i="56" s="1"/>
  <c r="P33" i="56"/>
  <c r="N33" i="56"/>
  <c r="L33" i="56"/>
  <c r="J33" i="56"/>
  <c r="H33" i="56"/>
  <c r="F33" i="56"/>
  <c r="D33" i="56"/>
  <c r="P32" i="56"/>
  <c r="N32" i="56"/>
  <c r="N35" i="56" s="1"/>
  <c r="L32" i="56"/>
  <c r="J32" i="56"/>
  <c r="J35" i="56" s="1"/>
  <c r="H32" i="56"/>
  <c r="F32" i="56"/>
  <c r="D32" i="56"/>
  <c r="Q260" i="56" l="1"/>
  <c r="S247" i="56"/>
  <c r="S254" i="56"/>
  <c r="Q261" i="56"/>
  <c r="Q268" i="56" s="1"/>
  <c r="T36" i="56"/>
  <c r="R131" i="56"/>
  <c r="T168" i="56"/>
  <c r="Q216" i="56"/>
  <c r="S249" i="56"/>
  <c r="Q259" i="56"/>
  <c r="R99" i="56"/>
  <c r="R132" i="56" s="1"/>
  <c r="P244" i="56"/>
  <c r="Q236" i="56" s="1"/>
  <c r="S260" i="56"/>
  <c r="S262" i="56"/>
  <c r="S264" i="56"/>
  <c r="S266" i="56"/>
  <c r="R244" i="56"/>
  <c r="S237" i="56" s="1"/>
  <c r="T51" i="56"/>
  <c r="S248" i="56"/>
  <c r="S250" i="56"/>
  <c r="S252" i="56"/>
  <c r="S251" i="56"/>
  <c r="R282" i="56"/>
  <c r="Q247" i="56"/>
  <c r="Q248" i="56"/>
  <c r="Q249" i="56"/>
  <c r="Q250" i="56"/>
  <c r="Q251" i="56"/>
  <c r="Q252" i="56"/>
  <c r="Q253" i="56"/>
  <c r="P282" i="56"/>
  <c r="R205" i="56"/>
  <c r="T189" i="56"/>
  <c r="T191" i="56"/>
  <c r="T187" i="56"/>
  <c r="T119" i="56"/>
  <c r="T131" i="56" s="1"/>
  <c r="T132" i="56" s="1"/>
  <c r="T35" i="56"/>
  <c r="T43" i="56" s="1"/>
  <c r="R203" i="56" s="1"/>
  <c r="R204" i="56" s="1"/>
  <c r="S236" i="56"/>
  <c r="T52" i="56"/>
  <c r="T67" i="56"/>
  <c r="T70" i="56" s="1"/>
  <c r="T139" i="56"/>
  <c r="R211" i="56"/>
  <c r="T107" i="55"/>
  <c r="T106" i="55"/>
  <c r="T103" i="55"/>
  <c r="T90" i="55"/>
  <c r="T89" i="55"/>
  <c r="R88" i="55"/>
  <c r="N67" i="55"/>
  <c r="N44" i="55"/>
  <c r="J44" i="55"/>
  <c r="F44" i="55"/>
  <c r="D44" i="55"/>
  <c r="Q238" i="56" l="1"/>
  <c r="S240" i="56"/>
  <c r="Q242" i="56"/>
  <c r="Q235" i="56"/>
  <c r="Q241" i="56"/>
  <c r="Q239" i="56"/>
  <c r="S268" i="56"/>
  <c r="S242" i="56"/>
  <c r="S238" i="56"/>
  <c r="Q237" i="56"/>
  <c r="S239" i="56"/>
  <c r="S235" i="56"/>
  <c r="S241" i="56"/>
  <c r="Q240" i="56"/>
  <c r="S256" i="56"/>
  <c r="Q256" i="56"/>
  <c r="T174" i="56"/>
  <c r="T83" i="56"/>
  <c r="T175" i="56" s="1"/>
  <c r="S280" i="55"/>
  <c r="R280" i="55"/>
  <c r="Q280" i="55"/>
  <c r="P280" i="55"/>
  <c r="R268" i="55"/>
  <c r="S265" i="55" s="1"/>
  <c r="P268" i="55"/>
  <c r="Q266" i="55" s="1"/>
  <c r="S263" i="55"/>
  <c r="S261" i="55"/>
  <c r="S259" i="55"/>
  <c r="R256" i="55"/>
  <c r="S254" i="55" s="1"/>
  <c r="P256" i="55"/>
  <c r="Q254" i="55" s="1"/>
  <c r="R242" i="55"/>
  <c r="P242" i="55"/>
  <c r="R241" i="55"/>
  <c r="P241" i="55"/>
  <c r="R240" i="55"/>
  <c r="P240" i="55"/>
  <c r="R239" i="55"/>
  <c r="P239" i="55"/>
  <c r="R238" i="55"/>
  <c r="P238" i="55"/>
  <c r="R237" i="55"/>
  <c r="P237" i="55"/>
  <c r="R236" i="55"/>
  <c r="P236" i="55"/>
  <c r="R235" i="55"/>
  <c r="P235" i="55"/>
  <c r="R221" i="55"/>
  <c r="R216" i="55"/>
  <c r="R211" i="55"/>
  <c r="R201" i="55"/>
  <c r="T181" i="55"/>
  <c r="T167" i="55"/>
  <c r="T166" i="55"/>
  <c r="T148" i="55"/>
  <c r="B135" i="55"/>
  <c r="B196" i="55" s="1"/>
  <c r="B296" i="55" s="1"/>
  <c r="R123" i="55"/>
  <c r="R121" i="55"/>
  <c r="R114" i="55"/>
  <c r="A114" i="55"/>
  <c r="A115" i="55" s="1"/>
  <c r="A116" i="55" s="1"/>
  <c r="A117" i="55" s="1"/>
  <c r="A118" i="55" s="1"/>
  <c r="A119" i="55" s="1"/>
  <c r="A102" i="55"/>
  <c r="A103" i="55" s="1"/>
  <c r="R97" i="55"/>
  <c r="R96" i="55"/>
  <c r="R95" i="55"/>
  <c r="L86" i="55"/>
  <c r="T81" i="55"/>
  <c r="T80" i="55"/>
  <c r="R70" i="55"/>
  <c r="P70" i="55"/>
  <c r="L70" i="55"/>
  <c r="L83" i="55" s="1"/>
  <c r="J70" i="55"/>
  <c r="J83" i="55" s="1"/>
  <c r="T67" i="55"/>
  <c r="T70" i="55" s="1"/>
  <c r="N70" i="55"/>
  <c r="P57" i="55"/>
  <c r="P56" i="55"/>
  <c r="T50" i="55"/>
  <c r="N43" i="55"/>
  <c r="J43" i="55"/>
  <c r="F43" i="55"/>
  <c r="D43" i="55"/>
  <c r="P36" i="55"/>
  <c r="N36" i="55"/>
  <c r="L36" i="55"/>
  <c r="J36" i="55"/>
  <c r="H36" i="55"/>
  <c r="F36" i="55"/>
  <c r="D36" i="55"/>
  <c r="P35" i="55"/>
  <c r="L35" i="55"/>
  <c r="H35" i="55"/>
  <c r="F35" i="55"/>
  <c r="D35" i="55"/>
  <c r="T34" i="55"/>
  <c r="Q179" i="55" s="1"/>
  <c r="P33" i="55"/>
  <c r="N33" i="55"/>
  <c r="L33" i="55"/>
  <c r="J33" i="55"/>
  <c r="H33" i="55"/>
  <c r="F33" i="55"/>
  <c r="D33" i="55"/>
  <c r="P32" i="55"/>
  <c r="N32" i="55"/>
  <c r="N35" i="55" s="1"/>
  <c r="L32" i="55"/>
  <c r="J32" i="55"/>
  <c r="J35" i="55" s="1"/>
  <c r="H32" i="55"/>
  <c r="F32" i="55"/>
  <c r="D32" i="55"/>
  <c r="Q263" i="55" l="1"/>
  <c r="S260" i="55"/>
  <c r="S266" i="55"/>
  <c r="P244" i="55"/>
  <c r="Q241" i="55" s="1"/>
  <c r="Q247" i="55"/>
  <c r="Q253" i="55"/>
  <c r="S264" i="55"/>
  <c r="Q244" i="56"/>
  <c r="R99" i="55"/>
  <c r="S262" i="55"/>
  <c r="S244" i="56"/>
  <c r="R244" i="55"/>
  <c r="S242" i="55" s="1"/>
  <c r="Q249" i="55"/>
  <c r="Q251" i="55"/>
  <c r="Q259" i="55"/>
  <c r="Q216" i="55"/>
  <c r="Q248" i="55"/>
  <c r="Q250" i="55"/>
  <c r="Q252" i="55"/>
  <c r="Q261" i="55"/>
  <c r="Q265" i="55"/>
  <c r="T35" i="55"/>
  <c r="T43" i="55" s="1"/>
  <c r="R203" i="55" s="1"/>
  <c r="R204" i="55" s="1"/>
  <c r="Q260" i="55"/>
  <c r="Q262" i="55"/>
  <c r="Q264" i="55"/>
  <c r="R282" i="55"/>
  <c r="T51" i="55"/>
  <c r="P282" i="55"/>
  <c r="T36" i="55"/>
  <c r="T95" i="55"/>
  <c r="T99" i="55" s="1"/>
  <c r="T189" i="55" s="1"/>
  <c r="R131" i="55"/>
  <c r="R132" i="55" s="1"/>
  <c r="T168" i="55"/>
  <c r="S247" i="55"/>
  <c r="S248" i="55"/>
  <c r="S249" i="55"/>
  <c r="S250" i="55"/>
  <c r="S251" i="55"/>
  <c r="S252" i="55"/>
  <c r="S253" i="55"/>
  <c r="S239" i="55"/>
  <c r="T174" i="55"/>
  <c r="T83" i="55"/>
  <c r="T175" i="55" s="1"/>
  <c r="Q242" i="55"/>
  <c r="Q238" i="55"/>
  <c r="T52" i="55"/>
  <c r="T139" i="55"/>
  <c r="R88" i="54"/>
  <c r="N67" i="54"/>
  <c r="Q235" i="55" l="1"/>
  <c r="Q239" i="55"/>
  <c r="S268" i="55"/>
  <c r="Q240" i="55"/>
  <c r="Q236" i="55"/>
  <c r="Q237" i="55"/>
  <c r="Q244" i="55" s="1"/>
  <c r="S235" i="55"/>
  <c r="S236" i="55"/>
  <c r="S244" i="55" s="1"/>
  <c r="S240" i="55"/>
  <c r="S237" i="55"/>
  <c r="S241" i="55"/>
  <c r="S238" i="55"/>
  <c r="Q256" i="55"/>
  <c r="Q268" i="55"/>
  <c r="R205" i="55"/>
  <c r="T187" i="55"/>
  <c r="T191" i="55"/>
  <c r="T119" i="55"/>
  <c r="T131" i="55" s="1"/>
  <c r="T132" i="55" s="1"/>
  <c r="S256" i="55"/>
  <c r="T106" i="54"/>
  <c r="T103" i="54"/>
  <c r="T90" i="54"/>
  <c r="T89" i="54"/>
  <c r="N44" i="54"/>
  <c r="J44" i="54"/>
  <c r="F44" i="54"/>
  <c r="D44" i="54"/>
  <c r="S280" i="54" l="1"/>
  <c r="R280" i="54"/>
  <c r="Q280" i="54"/>
  <c r="P280" i="54"/>
  <c r="R268" i="54"/>
  <c r="P268" i="54"/>
  <c r="Q216" i="54" s="1"/>
  <c r="S266" i="54"/>
  <c r="Q266" i="54"/>
  <c r="S265" i="54"/>
  <c r="Q265" i="54"/>
  <c r="S264" i="54"/>
  <c r="Q264" i="54"/>
  <c r="S263" i="54"/>
  <c r="Q263" i="54"/>
  <c r="S262" i="54"/>
  <c r="Q262" i="54"/>
  <c r="S261" i="54"/>
  <c r="Q261" i="54"/>
  <c r="S260" i="54"/>
  <c r="Q260" i="54"/>
  <c r="S259" i="54"/>
  <c r="Q259" i="54"/>
  <c r="R256" i="54"/>
  <c r="S254" i="54" s="1"/>
  <c r="P256" i="54"/>
  <c r="Q254" i="54" s="1"/>
  <c r="R242" i="54"/>
  <c r="P242" i="54"/>
  <c r="R241" i="54"/>
  <c r="P241" i="54"/>
  <c r="R240" i="54"/>
  <c r="P240" i="54"/>
  <c r="R239" i="54"/>
  <c r="P239" i="54"/>
  <c r="R238" i="54"/>
  <c r="P238" i="54"/>
  <c r="R237" i="54"/>
  <c r="P237" i="54"/>
  <c r="R236" i="54"/>
  <c r="P236" i="54"/>
  <c r="R235" i="54"/>
  <c r="R244" i="54" s="1"/>
  <c r="P235" i="54"/>
  <c r="R221" i="54"/>
  <c r="R216" i="54"/>
  <c r="R201" i="54"/>
  <c r="T181" i="54"/>
  <c r="T169" i="54"/>
  <c r="T167" i="54"/>
  <c r="T166" i="54"/>
  <c r="T148" i="54"/>
  <c r="B135" i="54"/>
  <c r="B196" i="54" s="1"/>
  <c r="B296" i="54" s="1"/>
  <c r="R123" i="54"/>
  <c r="R121" i="54"/>
  <c r="R114" i="54"/>
  <c r="A114" i="54"/>
  <c r="A115" i="54" s="1"/>
  <c r="A116" i="54" s="1"/>
  <c r="A117" i="54" s="1"/>
  <c r="A118" i="54" s="1"/>
  <c r="A119" i="54" s="1"/>
  <c r="A102" i="54"/>
  <c r="A103" i="54" s="1"/>
  <c r="R97" i="54"/>
  <c r="R96" i="54"/>
  <c r="R95" i="54"/>
  <c r="T95" i="54"/>
  <c r="T99" i="54" s="1"/>
  <c r="L86" i="54"/>
  <c r="T81" i="54"/>
  <c r="T80" i="54"/>
  <c r="R70" i="54"/>
  <c r="P70" i="54"/>
  <c r="L70" i="54"/>
  <c r="L83" i="54" s="1"/>
  <c r="J70" i="54"/>
  <c r="J83" i="54" s="1"/>
  <c r="T67" i="54"/>
  <c r="T70" i="54" s="1"/>
  <c r="N70" i="54"/>
  <c r="P57" i="54"/>
  <c r="P56" i="54"/>
  <c r="T50" i="54"/>
  <c r="N43" i="54"/>
  <c r="J43" i="54"/>
  <c r="F43" i="54"/>
  <c r="D43" i="54"/>
  <c r="P36" i="54"/>
  <c r="N36" i="54"/>
  <c r="L36" i="54"/>
  <c r="J36" i="54"/>
  <c r="H36" i="54"/>
  <c r="F36" i="54"/>
  <c r="D36" i="54"/>
  <c r="P35" i="54"/>
  <c r="L35" i="54"/>
  <c r="H35" i="54"/>
  <c r="F35" i="54"/>
  <c r="D35" i="54"/>
  <c r="T34" i="54"/>
  <c r="Q179" i="54" s="1"/>
  <c r="P33" i="54"/>
  <c r="N33" i="54"/>
  <c r="L33" i="54"/>
  <c r="J33" i="54"/>
  <c r="H33" i="54"/>
  <c r="F33" i="54"/>
  <c r="D33" i="54"/>
  <c r="P32" i="54"/>
  <c r="N32" i="54"/>
  <c r="N35" i="54" s="1"/>
  <c r="L32" i="54"/>
  <c r="J32" i="54"/>
  <c r="J35" i="54" s="1"/>
  <c r="H32" i="54"/>
  <c r="F32" i="54"/>
  <c r="D32" i="54"/>
  <c r="P244" i="54" l="1"/>
  <c r="Q268" i="54"/>
  <c r="S253" i="54"/>
  <c r="S268" i="54"/>
  <c r="T36" i="54"/>
  <c r="R99" i="54"/>
  <c r="T168" i="54"/>
  <c r="R131" i="54"/>
  <c r="R132" i="54" s="1"/>
  <c r="T51" i="54"/>
  <c r="S249" i="54"/>
  <c r="S247" i="54"/>
  <c r="S251" i="54"/>
  <c r="S248" i="54"/>
  <c r="S250" i="54"/>
  <c r="S252" i="54"/>
  <c r="R282" i="54"/>
  <c r="Q247" i="54"/>
  <c r="Q248" i="54"/>
  <c r="Q249" i="54"/>
  <c r="Q250" i="54"/>
  <c r="Q251" i="54"/>
  <c r="Q252" i="54"/>
  <c r="Q253" i="54"/>
  <c r="P282" i="54"/>
  <c r="S236" i="54"/>
  <c r="S237" i="54"/>
  <c r="S238" i="54"/>
  <c r="S239" i="54"/>
  <c r="S240" i="54"/>
  <c r="S241" i="54"/>
  <c r="S242" i="54"/>
  <c r="R205" i="54"/>
  <c r="T189" i="54"/>
  <c r="T119" i="54"/>
  <c r="T131" i="54" s="1"/>
  <c r="T132" i="54" s="1"/>
  <c r="T191" i="54"/>
  <c r="T187" i="54"/>
  <c r="T35" i="54"/>
  <c r="T43" i="54" s="1"/>
  <c r="R203" i="54" s="1"/>
  <c r="R204" i="54" s="1"/>
  <c r="T174" i="54"/>
  <c r="T83" i="54"/>
  <c r="T175" i="54" s="1"/>
  <c r="Q236" i="54"/>
  <c r="Q237" i="54"/>
  <c r="Q238" i="54"/>
  <c r="Q239" i="54"/>
  <c r="Q240" i="54"/>
  <c r="Q241" i="54"/>
  <c r="Q242" i="54"/>
  <c r="T52" i="54"/>
  <c r="R211" i="54"/>
  <c r="Q235" i="54"/>
  <c r="S235" i="54"/>
  <c r="T139" i="54"/>
  <c r="T106" i="53"/>
  <c r="T103" i="53"/>
  <c r="T90" i="53"/>
  <c r="T89" i="53"/>
  <c r="R88" i="53"/>
  <c r="N67" i="53"/>
  <c r="S244" i="54" l="1"/>
  <c r="S256" i="54"/>
  <c r="Q244" i="54"/>
  <c r="Q256" i="54"/>
  <c r="N44" i="53"/>
  <c r="J44" i="53"/>
  <c r="F44" i="53"/>
  <c r="D44" i="53"/>
  <c r="T169" i="53" l="1"/>
  <c r="S280" i="53" l="1"/>
  <c r="R280" i="53"/>
  <c r="Q280" i="53"/>
  <c r="P280" i="53"/>
  <c r="R268" i="53"/>
  <c r="R216" i="53" s="1"/>
  <c r="P268" i="53"/>
  <c r="Q216" i="53" s="1"/>
  <c r="S266" i="53"/>
  <c r="Q266" i="53"/>
  <c r="S265" i="53"/>
  <c r="Q265" i="53"/>
  <c r="S264" i="53"/>
  <c r="Q264" i="53"/>
  <c r="S263" i="53"/>
  <c r="Q263" i="53"/>
  <c r="S262" i="53"/>
  <c r="Q262" i="53"/>
  <c r="S261" i="53"/>
  <c r="Q261" i="53"/>
  <c r="S260" i="53"/>
  <c r="Q260" i="53"/>
  <c r="S259" i="53"/>
  <c r="Q259" i="53"/>
  <c r="R256" i="53"/>
  <c r="P256" i="53"/>
  <c r="Q254" i="53" s="1"/>
  <c r="R242" i="53"/>
  <c r="P242" i="53"/>
  <c r="R241" i="53"/>
  <c r="P241" i="53"/>
  <c r="R240" i="53"/>
  <c r="P240" i="53"/>
  <c r="R239" i="53"/>
  <c r="P239" i="53"/>
  <c r="R238" i="53"/>
  <c r="P238" i="53"/>
  <c r="R237" i="53"/>
  <c r="P237" i="53"/>
  <c r="R236" i="53"/>
  <c r="P236" i="53"/>
  <c r="R235" i="53"/>
  <c r="P235" i="53"/>
  <c r="R221" i="53"/>
  <c r="R201" i="53"/>
  <c r="T181" i="53"/>
  <c r="T167" i="53"/>
  <c r="T166" i="53"/>
  <c r="T148" i="53"/>
  <c r="B135" i="53"/>
  <c r="B196" i="53" s="1"/>
  <c r="B296" i="53" s="1"/>
  <c r="R123" i="53"/>
  <c r="R121" i="53"/>
  <c r="R114" i="53"/>
  <c r="A114" i="53"/>
  <c r="A115" i="53" s="1"/>
  <c r="A116" i="53" s="1"/>
  <c r="A117" i="53" s="1"/>
  <c r="A118" i="53" s="1"/>
  <c r="A119" i="53" s="1"/>
  <c r="A102" i="53"/>
  <c r="A103" i="53" s="1"/>
  <c r="R97" i="53"/>
  <c r="R96" i="53"/>
  <c r="T95" i="53"/>
  <c r="T99" i="53" s="1"/>
  <c r="R95" i="53"/>
  <c r="L86" i="53"/>
  <c r="T81" i="53"/>
  <c r="T80" i="53"/>
  <c r="R70" i="53"/>
  <c r="P70" i="53"/>
  <c r="L70" i="53"/>
  <c r="L83" i="53" s="1"/>
  <c r="J70" i="53"/>
  <c r="J83" i="53" s="1"/>
  <c r="T67" i="53"/>
  <c r="T70" i="53" s="1"/>
  <c r="P57" i="53"/>
  <c r="P56" i="53"/>
  <c r="T50" i="53"/>
  <c r="N43" i="53"/>
  <c r="J43" i="53"/>
  <c r="F43" i="53"/>
  <c r="D43" i="53"/>
  <c r="P36" i="53"/>
  <c r="N36" i="53"/>
  <c r="L36" i="53"/>
  <c r="J36" i="53"/>
  <c r="H36" i="53"/>
  <c r="F36" i="53"/>
  <c r="D36" i="53"/>
  <c r="P35" i="53"/>
  <c r="L35" i="53"/>
  <c r="H35" i="53"/>
  <c r="F35" i="53"/>
  <c r="D35" i="53"/>
  <c r="T34" i="53"/>
  <c r="Q179" i="53" s="1"/>
  <c r="P33" i="53"/>
  <c r="N33" i="53"/>
  <c r="L33" i="53"/>
  <c r="J33" i="53"/>
  <c r="H33" i="53"/>
  <c r="F33" i="53"/>
  <c r="D33" i="53"/>
  <c r="P32" i="53"/>
  <c r="N32" i="53"/>
  <c r="N35" i="53" s="1"/>
  <c r="L32" i="53"/>
  <c r="J32" i="53"/>
  <c r="J35" i="53" s="1"/>
  <c r="H32" i="53"/>
  <c r="F32" i="53"/>
  <c r="D32" i="53"/>
  <c r="S268" i="53" l="1"/>
  <c r="R282" i="53"/>
  <c r="Q247" i="53"/>
  <c r="T139" i="53"/>
  <c r="Q248" i="53"/>
  <c r="Q252" i="53"/>
  <c r="Q249" i="53"/>
  <c r="Q253" i="53"/>
  <c r="Q268" i="53"/>
  <c r="Q251" i="53"/>
  <c r="T168" i="53"/>
  <c r="Q250" i="53"/>
  <c r="R99" i="53"/>
  <c r="R131" i="53"/>
  <c r="T51" i="53"/>
  <c r="T36" i="53"/>
  <c r="R244" i="53"/>
  <c r="S241" i="53" s="1"/>
  <c r="S247" i="53"/>
  <c r="S248" i="53"/>
  <c r="S249" i="53"/>
  <c r="S250" i="53"/>
  <c r="S251" i="53"/>
  <c r="S252" i="53"/>
  <c r="S253" i="53"/>
  <c r="S254" i="53"/>
  <c r="P244" i="53"/>
  <c r="Q242" i="53" s="1"/>
  <c r="P282" i="53"/>
  <c r="T35" i="53"/>
  <c r="T43" i="53" s="1"/>
  <c r="R203" i="53" s="1"/>
  <c r="R204" i="53" s="1"/>
  <c r="S242" i="53"/>
  <c r="T174" i="53"/>
  <c r="T83" i="53"/>
  <c r="T175" i="53" s="1"/>
  <c r="R205" i="53"/>
  <c r="T189" i="53"/>
  <c r="T191" i="53"/>
  <c r="T187" i="53"/>
  <c r="T119" i="53"/>
  <c r="T131" i="53" s="1"/>
  <c r="T132" i="53" s="1"/>
  <c r="Q238" i="53"/>
  <c r="Q237" i="53"/>
  <c r="Q235" i="53"/>
  <c r="N70" i="53"/>
  <c r="R211" i="53"/>
  <c r="T52" i="53"/>
  <c r="T106" i="52"/>
  <c r="T103" i="52"/>
  <c r="T90" i="52"/>
  <c r="T89" i="52"/>
  <c r="R88" i="52"/>
  <c r="N67" i="52"/>
  <c r="N44" i="52"/>
  <c r="J44" i="52"/>
  <c r="F44" i="52"/>
  <c r="D44" i="52"/>
  <c r="Q239" i="53" l="1"/>
  <c r="Q236" i="53"/>
  <c r="Q240" i="53"/>
  <c r="Q256" i="53"/>
  <c r="R132" i="53"/>
  <c r="S235" i="53"/>
  <c r="S237" i="53"/>
  <c r="S236" i="53"/>
  <c r="S238" i="53"/>
  <c r="S240" i="53"/>
  <c r="S239" i="53"/>
  <c r="Q241" i="53"/>
  <c r="S256" i="53"/>
  <c r="S280" i="52"/>
  <c r="R280" i="52"/>
  <c r="Q280" i="52"/>
  <c r="P280" i="52"/>
  <c r="R268" i="52"/>
  <c r="R216" i="52" s="1"/>
  <c r="P268" i="52"/>
  <c r="Q216" i="52" s="1"/>
  <c r="S263" i="52"/>
  <c r="S259" i="52"/>
  <c r="R256" i="52"/>
  <c r="S254" i="52" s="1"/>
  <c r="P256" i="52"/>
  <c r="Q254" i="52" s="1"/>
  <c r="R242" i="52"/>
  <c r="P242" i="52"/>
  <c r="R241" i="52"/>
  <c r="P241" i="52"/>
  <c r="R240" i="52"/>
  <c r="P240" i="52"/>
  <c r="R239" i="52"/>
  <c r="P239" i="52"/>
  <c r="R238" i="52"/>
  <c r="P238" i="52"/>
  <c r="R237" i="52"/>
  <c r="P237" i="52"/>
  <c r="R236" i="52"/>
  <c r="P236" i="52"/>
  <c r="R235" i="52"/>
  <c r="P235" i="52"/>
  <c r="R221" i="52"/>
  <c r="R211" i="52"/>
  <c r="R201" i="52"/>
  <c r="T181" i="52"/>
  <c r="T167" i="52"/>
  <c r="T166" i="52"/>
  <c r="T148" i="52"/>
  <c r="B135" i="52"/>
  <c r="B196" i="52" s="1"/>
  <c r="B296" i="52" s="1"/>
  <c r="R123" i="52"/>
  <c r="R121" i="52"/>
  <c r="R114" i="52"/>
  <c r="A114" i="52"/>
  <c r="A115" i="52" s="1"/>
  <c r="A116" i="52" s="1"/>
  <c r="A117" i="52" s="1"/>
  <c r="A118" i="52" s="1"/>
  <c r="A119" i="52" s="1"/>
  <c r="A102" i="52"/>
  <c r="A103" i="52" s="1"/>
  <c r="R97" i="52"/>
  <c r="R96" i="52"/>
  <c r="T95" i="52"/>
  <c r="T99" i="52" s="1"/>
  <c r="R95" i="52"/>
  <c r="L86" i="52"/>
  <c r="T81" i="52"/>
  <c r="T80" i="52"/>
  <c r="R70" i="52"/>
  <c r="N70" i="52"/>
  <c r="L70" i="52"/>
  <c r="L83" i="52" s="1"/>
  <c r="J70" i="52"/>
  <c r="J83" i="52" s="1"/>
  <c r="P70" i="52"/>
  <c r="T67" i="52"/>
  <c r="T70" i="52" s="1"/>
  <c r="P57" i="52"/>
  <c r="P56" i="52"/>
  <c r="T50" i="52"/>
  <c r="N43" i="52"/>
  <c r="J43" i="52"/>
  <c r="F43" i="52"/>
  <c r="D43" i="52"/>
  <c r="P36" i="52"/>
  <c r="N36" i="52"/>
  <c r="L36" i="52"/>
  <c r="J36" i="52"/>
  <c r="H36" i="52"/>
  <c r="F36" i="52"/>
  <c r="D36" i="52"/>
  <c r="P35" i="52"/>
  <c r="L35" i="52"/>
  <c r="H35" i="52"/>
  <c r="F35" i="52"/>
  <c r="D35" i="52"/>
  <c r="T34" i="52"/>
  <c r="Q179" i="52" s="1"/>
  <c r="P33" i="52"/>
  <c r="N33" i="52"/>
  <c r="L33" i="52"/>
  <c r="J33" i="52"/>
  <c r="H33" i="52"/>
  <c r="F33" i="52"/>
  <c r="D33" i="52"/>
  <c r="P32" i="52"/>
  <c r="N32" i="52"/>
  <c r="N35" i="52" s="1"/>
  <c r="L32" i="52"/>
  <c r="J32" i="52"/>
  <c r="J35" i="52" s="1"/>
  <c r="H32" i="52"/>
  <c r="F32" i="52"/>
  <c r="D32" i="52"/>
  <c r="Q244" i="53" l="1"/>
  <c r="Q259" i="52"/>
  <c r="S247" i="52"/>
  <c r="S249" i="52"/>
  <c r="Q263" i="52"/>
  <c r="Q248" i="52"/>
  <c r="Q250" i="52"/>
  <c r="S248" i="52"/>
  <c r="S250" i="52"/>
  <c r="Q247" i="52"/>
  <c r="Q249" i="52"/>
  <c r="Q251" i="52"/>
  <c r="Q261" i="52"/>
  <c r="Q265" i="52"/>
  <c r="S261" i="52"/>
  <c r="S265" i="52"/>
  <c r="Q253" i="52"/>
  <c r="S244" i="53"/>
  <c r="Q260" i="52"/>
  <c r="Q262" i="52"/>
  <c r="Q264" i="52"/>
  <c r="Q266" i="52"/>
  <c r="S260" i="52"/>
  <c r="S262" i="52"/>
  <c r="S264" i="52"/>
  <c r="S266" i="52"/>
  <c r="T36" i="52"/>
  <c r="R99" i="52"/>
  <c r="R131" i="52"/>
  <c r="T168" i="52"/>
  <c r="Q252" i="52"/>
  <c r="T51" i="52"/>
  <c r="T35" i="52"/>
  <c r="T43" i="52" s="1"/>
  <c r="R203" i="52" s="1"/>
  <c r="R204" i="52" s="1"/>
  <c r="R244" i="52"/>
  <c r="S241" i="52" s="1"/>
  <c r="S251" i="52"/>
  <c r="R282" i="52"/>
  <c r="S252" i="52"/>
  <c r="S253" i="52"/>
  <c r="P244" i="52"/>
  <c r="Q241" i="52" s="1"/>
  <c r="P282" i="52"/>
  <c r="R205" i="52"/>
  <c r="T189" i="52"/>
  <c r="T191" i="52"/>
  <c r="T187" i="52"/>
  <c r="T119" i="52"/>
  <c r="T131" i="52" s="1"/>
  <c r="T132" i="52" s="1"/>
  <c r="S242" i="52"/>
  <c r="T174" i="52"/>
  <c r="T83" i="52"/>
  <c r="T175" i="52" s="1"/>
  <c r="T52" i="52"/>
  <c r="T139" i="52"/>
  <c r="S236" i="52" l="1"/>
  <c r="S238" i="52"/>
  <c r="Q256" i="52"/>
  <c r="Q268" i="52"/>
  <c r="S235" i="52"/>
  <c r="S237" i="52"/>
  <c r="S239" i="52"/>
  <c r="S268" i="52"/>
  <c r="R132" i="52"/>
  <c r="Q242" i="52"/>
  <c r="S240" i="52"/>
  <c r="Q235" i="52"/>
  <c r="Q236" i="52"/>
  <c r="Q238" i="52"/>
  <c r="Q237" i="52"/>
  <c r="Q239" i="52"/>
  <c r="S256" i="52"/>
  <c r="Q240" i="52"/>
  <c r="T106" i="51"/>
  <c r="T103" i="51"/>
  <c r="T90" i="51"/>
  <c r="T89" i="51"/>
  <c r="Q181" i="51"/>
  <c r="R88" i="51"/>
  <c r="N67" i="51"/>
  <c r="P67" i="51"/>
  <c r="N44" i="51"/>
  <c r="J44" i="51"/>
  <c r="F44" i="51"/>
  <c r="D44" i="51"/>
  <c r="S244" i="52" l="1"/>
  <c r="Q244" i="52"/>
  <c r="T169" i="51"/>
  <c r="S280" i="51" l="1"/>
  <c r="R280" i="51"/>
  <c r="Q280" i="51"/>
  <c r="P280" i="51"/>
  <c r="R268" i="51"/>
  <c r="S266" i="51" s="1"/>
  <c r="P268" i="51"/>
  <c r="Q266" i="51" s="1"/>
  <c r="R256" i="51"/>
  <c r="S254" i="51" s="1"/>
  <c r="P256" i="51"/>
  <c r="Q254" i="51" s="1"/>
  <c r="R242" i="51"/>
  <c r="P242" i="51"/>
  <c r="R241" i="51"/>
  <c r="P241" i="51"/>
  <c r="R240" i="51"/>
  <c r="P240" i="51"/>
  <c r="R239" i="51"/>
  <c r="P239" i="51"/>
  <c r="R238" i="51"/>
  <c r="P238" i="51"/>
  <c r="R237" i="51"/>
  <c r="P237" i="51"/>
  <c r="R236" i="51"/>
  <c r="P236" i="51"/>
  <c r="R235" i="51"/>
  <c r="R244" i="51" s="1"/>
  <c r="P235" i="51"/>
  <c r="P244" i="51" s="1"/>
  <c r="R221" i="51"/>
  <c r="R201" i="51"/>
  <c r="T181" i="51"/>
  <c r="T167" i="51"/>
  <c r="T166" i="51"/>
  <c r="T148" i="51"/>
  <c r="B135" i="51"/>
  <c r="B196" i="51" s="1"/>
  <c r="B296" i="51" s="1"/>
  <c r="R123" i="51"/>
  <c r="R121" i="51"/>
  <c r="R114" i="51"/>
  <c r="A114" i="51"/>
  <c r="A115" i="51" s="1"/>
  <c r="A116" i="51" s="1"/>
  <c r="A117" i="51" s="1"/>
  <c r="A118" i="51" s="1"/>
  <c r="A119" i="51" s="1"/>
  <c r="A102" i="51"/>
  <c r="A103" i="51" s="1"/>
  <c r="R97" i="51"/>
  <c r="R96" i="51"/>
  <c r="R95" i="51"/>
  <c r="T95" i="51"/>
  <c r="T99" i="51" s="1"/>
  <c r="L86" i="51"/>
  <c r="T81" i="51"/>
  <c r="T80" i="51"/>
  <c r="R70" i="51"/>
  <c r="P70" i="51"/>
  <c r="L70" i="51"/>
  <c r="L83" i="51" s="1"/>
  <c r="J70" i="51"/>
  <c r="J83" i="51" s="1"/>
  <c r="T67" i="51"/>
  <c r="T70" i="51" s="1"/>
  <c r="R211" i="51"/>
  <c r="P57" i="51"/>
  <c r="P56" i="51"/>
  <c r="T50" i="51"/>
  <c r="N43" i="51"/>
  <c r="J43" i="51"/>
  <c r="F43" i="51"/>
  <c r="D43" i="51"/>
  <c r="P36" i="51"/>
  <c r="N36" i="51"/>
  <c r="L36" i="51"/>
  <c r="J36" i="51"/>
  <c r="H36" i="51"/>
  <c r="F36" i="51"/>
  <c r="D36" i="51"/>
  <c r="P35" i="51"/>
  <c r="L35" i="51"/>
  <c r="H35" i="51"/>
  <c r="F35" i="51"/>
  <c r="D35" i="51"/>
  <c r="T34" i="51"/>
  <c r="Q179" i="51" s="1"/>
  <c r="P33" i="51"/>
  <c r="N33" i="51"/>
  <c r="L33" i="51"/>
  <c r="J33" i="51"/>
  <c r="H33" i="51"/>
  <c r="F33" i="51"/>
  <c r="D33" i="51"/>
  <c r="P32" i="51"/>
  <c r="N32" i="51"/>
  <c r="N35" i="51" s="1"/>
  <c r="L32" i="51"/>
  <c r="J32" i="51"/>
  <c r="J35" i="51" s="1"/>
  <c r="H32" i="51"/>
  <c r="F32" i="51"/>
  <c r="D32" i="51"/>
  <c r="T119" i="51" l="1"/>
  <c r="T131" i="51" s="1"/>
  <c r="T132" i="51" s="1"/>
  <c r="R99" i="51"/>
  <c r="R131" i="51"/>
  <c r="Q216" i="51"/>
  <c r="Q249" i="51"/>
  <c r="T168" i="51"/>
  <c r="T51" i="51"/>
  <c r="T36" i="51"/>
  <c r="Q259" i="51"/>
  <c r="Q263" i="51"/>
  <c r="Q261" i="51"/>
  <c r="Q265" i="51"/>
  <c r="Q260" i="51"/>
  <c r="Q262" i="51"/>
  <c r="Q264" i="51"/>
  <c r="R282" i="51"/>
  <c r="Q247" i="51"/>
  <c r="Q251" i="51"/>
  <c r="Q253" i="51"/>
  <c r="P282" i="51"/>
  <c r="Q248" i="51"/>
  <c r="Q250" i="51"/>
  <c r="Q252" i="51"/>
  <c r="T35" i="51"/>
  <c r="T43" i="51" s="1"/>
  <c r="R203" i="51" s="1"/>
  <c r="R204" i="51" s="1"/>
  <c r="T174" i="51"/>
  <c r="T83" i="51"/>
  <c r="T175" i="51" s="1"/>
  <c r="S236" i="51"/>
  <c r="S237" i="51"/>
  <c r="S238" i="51"/>
  <c r="S239" i="51"/>
  <c r="S240" i="51"/>
  <c r="S241" i="51"/>
  <c r="S242" i="51"/>
  <c r="R205" i="51"/>
  <c r="T189" i="51"/>
  <c r="T191" i="51"/>
  <c r="T187" i="51"/>
  <c r="Q236" i="51"/>
  <c r="Q237" i="51"/>
  <c r="Q238" i="51"/>
  <c r="Q239" i="51"/>
  <c r="Q240" i="51"/>
  <c r="Q241" i="51"/>
  <c r="Q242" i="51"/>
  <c r="N70" i="51"/>
  <c r="T139" i="51"/>
  <c r="R216" i="51"/>
  <c r="Q235" i="51"/>
  <c r="Q244" i="51" s="1"/>
  <c r="S235" i="51"/>
  <c r="S247" i="51"/>
  <c r="S248" i="51"/>
  <c r="S249" i="51"/>
  <c r="S250" i="51"/>
  <c r="S251" i="51"/>
  <c r="S252" i="51"/>
  <c r="S253" i="51"/>
  <c r="S259" i="51"/>
  <c r="S260" i="51"/>
  <c r="S261" i="51"/>
  <c r="S262" i="51"/>
  <c r="S263" i="51"/>
  <c r="S264" i="51"/>
  <c r="S265" i="51"/>
  <c r="T52" i="51"/>
  <c r="R132" i="51" l="1"/>
  <c r="Q268" i="51"/>
  <c r="Q256" i="51"/>
  <c r="S268" i="51"/>
  <c r="S244" i="51"/>
  <c r="S256" i="51"/>
  <c r="T106" i="50" l="1"/>
  <c r="T103" i="50"/>
  <c r="T90" i="50"/>
  <c r="T89" i="50"/>
  <c r="R88" i="50"/>
  <c r="N67" i="50"/>
  <c r="N44" i="50"/>
  <c r="J44" i="50"/>
  <c r="F44" i="50"/>
  <c r="D44" i="50"/>
  <c r="S280" i="50" l="1"/>
  <c r="R280" i="50"/>
  <c r="Q280" i="50"/>
  <c r="P280" i="50"/>
  <c r="R268" i="50"/>
  <c r="S265" i="50" s="1"/>
  <c r="P268" i="50"/>
  <c r="Q265" i="50" s="1"/>
  <c r="S266" i="50"/>
  <c r="Q266" i="50"/>
  <c r="S264" i="50"/>
  <c r="Q263" i="50"/>
  <c r="S262" i="50"/>
  <c r="Q262" i="50"/>
  <c r="S260" i="50"/>
  <c r="Q259" i="50"/>
  <c r="R256" i="50"/>
  <c r="S253" i="50" s="1"/>
  <c r="P256" i="50"/>
  <c r="Q253" i="50" s="1"/>
  <c r="R242" i="50"/>
  <c r="P242" i="50"/>
  <c r="R241" i="50"/>
  <c r="P241" i="50"/>
  <c r="R240" i="50"/>
  <c r="P240" i="50"/>
  <c r="R239" i="50"/>
  <c r="P239" i="50"/>
  <c r="R238" i="50"/>
  <c r="P238" i="50"/>
  <c r="R237" i="50"/>
  <c r="P237" i="50"/>
  <c r="R236" i="50"/>
  <c r="P236" i="50"/>
  <c r="R235" i="50"/>
  <c r="P235" i="50"/>
  <c r="R221" i="50"/>
  <c r="R216" i="50"/>
  <c r="R211" i="50"/>
  <c r="R201" i="50"/>
  <c r="T181" i="50"/>
  <c r="T167" i="50"/>
  <c r="T166" i="50"/>
  <c r="T148" i="50"/>
  <c r="B135" i="50"/>
  <c r="B196" i="50" s="1"/>
  <c r="B296" i="50" s="1"/>
  <c r="R123" i="50"/>
  <c r="R121" i="50"/>
  <c r="R114" i="50"/>
  <c r="A114" i="50"/>
  <c r="A115" i="50" s="1"/>
  <c r="A116" i="50" s="1"/>
  <c r="A117" i="50" s="1"/>
  <c r="A118" i="50" s="1"/>
  <c r="A119" i="50" s="1"/>
  <c r="A102" i="50"/>
  <c r="A103" i="50" s="1"/>
  <c r="R97" i="50"/>
  <c r="R96" i="50"/>
  <c r="T95" i="50"/>
  <c r="T99" i="50" s="1"/>
  <c r="R95" i="50"/>
  <c r="L86" i="50"/>
  <c r="T81" i="50"/>
  <c r="T80" i="50"/>
  <c r="R70" i="50"/>
  <c r="P70" i="50"/>
  <c r="L70" i="50"/>
  <c r="L83" i="50" s="1"/>
  <c r="J70" i="50"/>
  <c r="J83" i="50" s="1"/>
  <c r="T67" i="50"/>
  <c r="T70" i="50" s="1"/>
  <c r="N70" i="50"/>
  <c r="P57" i="50"/>
  <c r="P56" i="50"/>
  <c r="T50" i="50"/>
  <c r="N43" i="50"/>
  <c r="J43" i="50"/>
  <c r="F43" i="50"/>
  <c r="D43" i="50"/>
  <c r="P36" i="50"/>
  <c r="N36" i="50"/>
  <c r="L36" i="50"/>
  <c r="J36" i="50"/>
  <c r="H36" i="50"/>
  <c r="F36" i="50"/>
  <c r="D36" i="50"/>
  <c r="P35" i="50"/>
  <c r="L35" i="50"/>
  <c r="H35" i="50"/>
  <c r="F35" i="50"/>
  <c r="D35" i="50"/>
  <c r="T34" i="50"/>
  <c r="Q179" i="50" s="1"/>
  <c r="P33" i="50"/>
  <c r="N33" i="50"/>
  <c r="L33" i="50"/>
  <c r="J33" i="50"/>
  <c r="H33" i="50"/>
  <c r="F33" i="50"/>
  <c r="D33" i="50"/>
  <c r="P32" i="50"/>
  <c r="N32" i="50"/>
  <c r="N35" i="50" s="1"/>
  <c r="L32" i="50"/>
  <c r="J32" i="50"/>
  <c r="J35" i="50" s="1"/>
  <c r="H32" i="50"/>
  <c r="F32" i="50"/>
  <c r="D32" i="50"/>
  <c r="Q247" i="50" l="1"/>
  <c r="S248" i="50"/>
  <c r="Q251" i="50"/>
  <c r="S252" i="50"/>
  <c r="R131" i="50"/>
  <c r="Q250" i="50"/>
  <c r="Q254" i="50"/>
  <c r="S250" i="50"/>
  <c r="S254" i="50"/>
  <c r="T139" i="50"/>
  <c r="R99" i="50"/>
  <c r="Q216" i="50"/>
  <c r="Q260" i="50"/>
  <c r="Q261" i="50"/>
  <c r="Q264" i="50"/>
  <c r="R244" i="50"/>
  <c r="S239" i="50" s="1"/>
  <c r="R282" i="50"/>
  <c r="P282" i="50"/>
  <c r="Q248" i="50"/>
  <c r="Q249" i="50"/>
  <c r="Q252" i="50"/>
  <c r="T168" i="50"/>
  <c r="T51" i="50"/>
  <c r="T36" i="50"/>
  <c r="R205" i="50"/>
  <c r="T191" i="50"/>
  <c r="T189" i="50"/>
  <c r="T187" i="50"/>
  <c r="T119" i="50"/>
  <c r="T131" i="50" s="1"/>
  <c r="T132" i="50" s="1"/>
  <c r="T35" i="50"/>
  <c r="T83" i="50"/>
  <c r="T175" i="50" s="1"/>
  <c r="T174" i="50"/>
  <c r="P244" i="50"/>
  <c r="Q239" i="50" s="1"/>
  <c r="S247" i="50"/>
  <c r="S249" i="50"/>
  <c r="S251" i="50"/>
  <c r="S259" i="50"/>
  <c r="S261" i="50"/>
  <c r="S263" i="50"/>
  <c r="T52" i="50"/>
  <c r="T106" i="49"/>
  <c r="T103" i="49"/>
  <c r="T90" i="49"/>
  <c r="T89" i="49"/>
  <c r="R88" i="49"/>
  <c r="N67" i="49"/>
  <c r="N44" i="49"/>
  <c r="J44" i="49"/>
  <c r="F44" i="49"/>
  <c r="D44" i="49"/>
  <c r="S242" i="50" l="1"/>
  <c r="R132" i="50"/>
  <c r="S237" i="50"/>
  <c r="S238" i="50"/>
  <c r="S241" i="50"/>
  <c r="T43" i="50"/>
  <c r="R203" i="50" s="1"/>
  <c r="R204" i="50" s="1"/>
  <c r="S235" i="50"/>
  <c r="S240" i="50"/>
  <c r="S236" i="50"/>
  <c r="Q268" i="50"/>
  <c r="Q256" i="50"/>
  <c r="Q237" i="50"/>
  <c r="Q238" i="50"/>
  <c r="Q241" i="50"/>
  <c r="Q240" i="50"/>
  <c r="Q236" i="50"/>
  <c r="Q235" i="50"/>
  <c r="S256" i="50"/>
  <c r="S268" i="50"/>
  <c r="Q242" i="50"/>
  <c r="S280" i="49"/>
  <c r="R280" i="49"/>
  <c r="Q280" i="49"/>
  <c r="P280" i="49"/>
  <c r="R268" i="49"/>
  <c r="R216" i="49" s="1"/>
  <c r="P268" i="49"/>
  <c r="Q216" i="49" s="1"/>
  <c r="R256" i="49"/>
  <c r="S254" i="49" s="1"/>
  <c r="P256" i="49"/>
  <c r="Q254" i="49" s="1"/>
  <c r="R242" i="49"/>
  <c r="P242" i="49"/>
  <c r="R241" i="49"/>
  <c r="P241" i="49"/>
  <c r="R240" i="49"/>
  <c r="P240" i="49"/>
  <c r="R239" i="49"/>
  <c r="P239" i="49"/>
  <c r="R238" i="49"/>
  <c r="P238" i="49"/>
  <c r="R237" i="49"/>
  <c r="P237" i="49"/>
  <c r="R236" i="49"/>
  <c r="P236" i="49"/>
  <c r="R235" i="49"/>
  <c r="P235" i="49"/>
  <c r="R221" i="49"/>
  <c r="R201" i="49"/>
  <c r="T181" i="49"/>
  <c r="T167" i="49"/>
  <c r="T166" i="49"/>
  <c r="T148" i="49"/>
  <c r="B135" i="49"/>
  <c r="B196" i="49" s="1"/>
  <c r="B296" i="49" s="1"/>
  <c r="R123" i="49"/>
  <c r="R121" i="49"/>
  <c r="R114" i="49"/>
  <c r="A114" i="49"/>
  <c r="A115" i="49" s="1"/>
  <c r="A116" i="49" s="1"/>
  <c r="A117" i="49" s="1"/>
  <c r="A118" i="49" s="1"/>
  <c r="A119" i="49" s="1"/>
  <c r="A102" i="49"/>
  <c r="A103" i="49" s="1"/>
  <c r="R97" i="49"/>
  <c r="R96" i="49"/>
  <c r="T95" i="49"/>
  <c r="T99" i="49" s="1"/>
  <c r="R95" i="49"/>
  <c r="L86" i="49"/>
  <c r="T81" i="49"/>
  <c r="T80" i="49"/>
  <c r="R70" i="49"/>
  <c r="P70" i="49"/>
  <c r="L70" i="49"/>
  <c r="L83" i="49" s="1"/>
  <c r="J70" i="49"/>
  <c r="J83" i="49" s="1"/>
  <c r="N70" i="49"/>
  <c r="P57" i="49"/>
  <c r="P56" i="49"/>
  <c r="T50" i="49"/>
  <c r="N43" i="49"/>
  <c r="J43" i="49"/>
  <c r="F43" i="49"/>
  <c r="D43" i="49"/>
  <c r="P36" i="49"/>
  <c r="N36" i="49"/>
  <c r="L36" i="49"/>
  <c r="J36" i="49"/>
  <c r="H36" i="49"/>
  <c r="F36" i="49"/>
  <c r="D36" i="49"/>
  <c r="P35" i="49"/>
  <c r="L35" i="49"/>
  <c r="H35" i="49"/>
  <c r="F35" i="49"/>
  <c r="D35" i="49"/>
  <c r="T34" i="49"/>
  <c r="P33" i="49"/>
  <c r="N33" i="49"/>
  <c r="L33" i="49"/>
  <c r="J33" i="49"/>
  <c r="H33" i="49"/>
  <c r="F33" i="49"/>
  <c r="D33" i="49"/>
  <c r="P32" i="49"/>
  <c r="N32" i="49"/>
  <c r="N35" i="49" s="1"/>
  <c r="L32" i="49"/>
  <c r="J32" i="49"/>
  <c r="J35" i="49" s="1"/>
  <c r="H32" i="49"/>
  <c r="F32" i="49"/>
  <c r="D32" i="49"/>
  <c r="Q247" i="49" l="1"/>
  <c r="Q250" i="49"/>
  <c r="Q251" i="49"/>
  <c r="Q259" i="49"/>
  <c r="S250" i="49"/>
  <c r="S248" i="49"/>
  <c r="S252" i="49"/>
  <c r="Q263" i="49"/>
  <c r="S266" i="49"/>
  <c r="Q248" i="49"/>
  <c r="Q249" i="49"/>
  <c r="Q252" i="49"/>
  <c r="Q253" i="49"/>
  <c r="Q262" i="49"/>
  <c r="S247" i="49"/>
  <c r="S249" i="49"/>
  <c r="S251" i="49"/>
  <c r="S253" i="49"/>
  <c r="Q260" i="49"/>
  <c r="Q264" i="49"/>
  <c r="Q261" i="49"/>
  <c r="Q265" i="49"/>
  <c r="Q244" i="50"/>
  <c r="R131" i="49"/>
  <c r="S259" i="49"/>
  <c r="S260" i="49"/>
  <c r="S261" i="49"/>
  <c r="S262" i="49"/>
  <c r="S263" i="49"/>
  <c r="S264" i="49"/>
  <c r="S265" i="49"/>
  <c r="S244" i="50"/>
  <c r="Q266" i="49"/>
  <c r="Q179" i="49"/>
  <c r="T52" i="49"/>
  <c r="R99" i="49"/>
  <c r="R132" i="49" s="1"/>
  <c r="T168" i="49"/>
  <c r="T36" i="49"/>
  <c r="T51" i="49"/>
  <c r="R244" i="49"/>
  <c r="S236" i="49" s="1"/>
  <c r="R282" i="49"/>
  <c r="P244" i="49"/>
  <c r="Q237" i="49" s="1"/>
  <c r="P282" i="49"/>
  <c r="R205" i="49"/>
  <c r="T189" i="49"/>
  <c r="T191" i="49"/>
  <c r="T187" i="49"/>
  <c r="T119" i="49"/>
  <c r="T131" i="49" s="1"/>
  <c r="T132" i="49" s="1"/>
  <c r="T35" i="49"/>
  <c r="T67" i="49"/>
  <c r="T70" i="49" s="1"/>
  <c r="T139" i="49"/>
  <c r="R211" i="49"/>
  <c r="T107" i="47"/>
  <c r="T106" i="47"/>
  <c r="Q268" i="49" l="1"/>
  <c r="Q256" i="49"/>
  <c r="S235" i="49"/>
  <c r="S241" i="49"/>
  <c r="S268" i="49"/>
  <c r="S256" i="49"/>
  <c r="Q235" i="49"/>
  <c r="S242" i="49"/>
  <c r="Q236" i="49"/>
  <c r="T43" i="49"/>
  <c r="R203" i="49" s="1"/>
  <c r="R204" i="49" s="1"/>
  <c r="S240" i="49"/>
  <c r="S239" i="49"/>
  <c r="S238" i="49"/>
  <c r="S237" i="49"/>
  <c r="Q242" i="49"/>
  <c r="Q241" i="49"/>
  <c r="Q239" i="49"/>
  <c r="Q240" i="49"/>
  <c r="Q238" i="49"/>
  <c r="T174" i="49"/>
  <c r="T83" i="49"/>
  <c r="T175" i="49" s="1"/>
  <c r="T107" i="48"/>
  <c r="T106" i="48"/>
  <c r="S244" i="49" l="1"/>
  <c r="Q244" i="49"/>
  <c r="N67" i="48"/>
  <c r="T103" i="48" l="1"/>
  <c r="T90" i="48"/>
  <c r="T89" i="48"/>
  <c r="R88" i="48"/>
  <c r="N44" i="48"/>
  <c r="J44" i="48"/>
  <c r="F44" i="48"/>
  <c r="D44" i="48"/>
  <c r="S280" i="48" l="1"/>
  <c r="R280" i="48"/>
  <c r="Q280" i="48"/>
  <c r="P280" i="48"/>
  <c r="R268" i="48"/>
  <c r="R216" i="48" s="1"/>
  <c r="P268" i="48"/>
  <c r="Q266" i="48" s="1"/>
  <c r="S266" i="48"/>
  <c r="S264" i="48"/>
  <c r="S262" i="48"/>
  <c r="S260" i="48"/>
  <c r="R256" i="48"/>
  <c r="S253" i="48" s="1"/>
  <c r="P256" i="48"/>
  <c r="Q254" i="48" s="1"/>
  <c r="R242" i="48"/>
  <c r="P242" i="48"/>
  <c r="R241" i="48"/>
  <c r="P241" i="48"/>
  <c r="R240" i="48"/>
  <c r="P240" i="48"/>
  <c r="R239" i="48"/>
  <c r="P239" i="48"/>
  <c r="R238" i="48"/>
  <c r="P238" i="48"/>
  <c r="R237" i="48"/>
  <c r="P237" i="48"/>
  <c r="R236" i="48"/>
  <c r="P236" i="48"/>
  <c r="R235" i="48"/>
  <c r="P235" i="48"/>
  <c r="R221" i="48"/>
  <c r="R201" i="48"/>
  <c r="T181" i="48"/>
  <c r="T167" i="48"/>
  <c r="T166" i="48"/>
  <c r="T148" i="48"/>
  <c r="B135" i="48"/>
  <c r="B196" i="48" s="1"/>
  <c r="B296" i="48" s="1"/>
  <c r="R123" i="48"/>
  <c r="R121" i="48"/>
  <c r="R114" i="48"/>
  <c r="A114" i="48"/>
  <c r="A115" i="48" s="1"/>
  <c r="A116" i="48" s="1"/>
  <c r="A117" i="48" s="1"/>
  <c r="A118" i="48" s="1"/>
  <c r="A119" i="48" s="1"/>
  <c r="A102" i="48"/>
  <c r="A103" i="48" s="1"/>
  <c r="R97" i="48"/>
  <c r="R96" i="48"/>
  <c r="R95" i="48"/>
  <c r="L86" i="48"/>
  <c r="T81" i="48"/>
  <c r="T80" i="48"/>
  <c r="R70" i="48"/>
  <c r="P70" i="48"/>
  <c r="L70" i="48"/>
  <c r="L83" i="48" s="1"/>
  <c r="J70" i="48"/>
  <c r="J83" i="48" s="1"/>
  <c r="T67" i="48"/>
  <c r="T70" i="48" s="1"/>
  <c r="N70" i="48"/>
  <c r="P57" i="48"/>
  <c r="P56" i="48"/>
  <c r="T50" i="48"/>
  <c r="N43" i="48"/>
  <c r="J43" i="48"/>
  <c r="F43" i="48"/>
  <c r="D43" i="48"/>
  <c r="P36" i="48"/>
  <c r="N36" i="48"/>
  <c r="L36" i="48"/>
  <c r="J36" i="48"/>
  <c r="H36" i="48"/>
  <c r="F36" i="48"/>
  <c r="D36" i="48"/>
  <c r="P35" i="48"/>
  <c r="L35" i="48"/>
  <c r="H35" i="48"/>
  <c r="F35" i="48"/>
  <c r="D35" i="48"/>
  <c r="T34" i="48"/>
  <c r="Q179" i="48" s="1"/>
  <c r="P33" i="48"/>
  <c r="N33" i="48"/>
  <c r="L33" i="48"/>
  <c r="J33" i="48"/>
  <c r="H33" i="48"/>
  <c r="F33" i="48"/>
  <c r="D33" i="48"/>
  <c r="P32" i="48"/>
  <c r="N32" i="48"/>
  <c r="N35" i="48" s="1"/>
  <c r="L32" i="48"/>
  <c r="J32" i="48"/>
  <c r="J35" i="48" s="1"/>
  <c r="H32" i="48"/>
  <c r="F32" i="48"/>
  <c r="D32" i="48"/>
  <c r="S261" i="48" l="1"/>
  <c r="S265" i="48"/>
  <c r="S259" i="48"/>
  <c r="S268" i="48" s="1"/>
  <c r="S263" i="48"/>
  <c r="R99" i="48"/>
  <c r="Q216" i="48"/>
  <c r="Q259" i="48"/>
  <c r="Q260" i="48"/>
  <c r="Q261" i="48"/>
  <c r="Q262" i="48"/>
  <c r="Q263" i="48"/>
  <c r="Q264" i="48"/>
  <c r="Q265" i="48"/>
  <c r="Q247" i="48"/>
  <c r="S254" i="48"/>
  <c r="R244" i="48"/>
  <c r="S237" i="48" s="1"/>
  <c r="S250" i="48"/>
  <c r="S248" i="48"/>
  <c r="S252" i="48"/>
  <c r="S247" i="48"/>
  <c r="S249" i="48"/>
  <c r="S251" i="48"/>
  <c r="Q251" i="48"/>
  <c r="Q249" i="48"/>
  <c r="Q253" i="48"/>
  <c r="P244" i="48"/>
  <c r="Q236" i="48" s="1"/>
  <c r="Q248" i="48"/>
  <c r="Q250" i="48"/>
  <c r="Q252" i="48"/>
  <c r="T51" i="48"/>
  <c r="T36" i="48"/>
  <c r="T95" i="48"/>
  <c r="T99" i="48" s="1"/>
  <c r="R205" i="48" s="1"/>
  <c r="R131" i="48"/>
  <c r="R132" i="48" s="1"/>
  <c r="T168" i="48"/>
  <c r="P282" i="48"/>
  <c r="R282" i="48"/>
  <c r="T35" i="48"/>
  <c r="T43" i="48" s="1"/>
  <c r="R203" i="48" s="1"/>
  <c r="R204" i="48" s="1"/>
  <c r="T174" i="48"/>
  <c r="T83" i="48"/>
  <c r="T175" i="48" s="1"/>
  <c r="S236" i="48"/>
  <c r="S241" i="48"/>
  <c r="T52" i="48"/>
  <c r="R211" i="48"/>
  <c r="T139" i="48"/>
  <c r="D32" i="47"/>
  <c r="D35" i="47"/>
  <c r="F32" i="47"/>
  <c r="Q235" i="48" l="1"/>
  <c r="Q241" i="48"/>
  <c r="Q268" i="48"/>
  <c r="S235" i="48"/>
  <c r="S242" i="48"/>
  <c r="S238" i="48"/>
  <c r="Q242" i="48"/>
  <c r="Q240" i="48"/>
  <c r="S239" i="48"/>
  <c r="S240" i="48"/>
  <c r="T191" i="48"/>
  <c r="T189" i="48"/>
  <c r="Q239" i="48"/>
  <c r="Q238" i="48"/>
  <c r="Q237" i="48"/>
  <c r="S256" i="48"/>
  <c r="Q256" i="48"/>
  <c r="T187" i="48"/>
  <c r="T119" i="48"/>
  <c r="T131" i="48" s="1"/>
  <c r="T132" i="48" s="1"/>
  <c r="D36" i="47"/>
  <c r="Q244" i="48" l="1"/>
  <c r="S244" i="48"/>
  <c r="D33" i="47"/>
  <c r="D36" i="46" l="1"/>
  <c r="D35" i="46"/>
  <c r="D33" i="46"/>
  <c r="D32" i="46"/>
  <c r="D44" i="47" l="1"/>
  <c r="L32" i="47" l="1"/>
  <c r="J33" i="47"/>
  <c r="J32" i="47"/>
  <c r="J35" i="47" s="1"/>
  <c r="T103" i="47"/>
  <c r="T90" i="47"/>
  <c r="T89" i="47"/>
  <c r="R88" i="47"/>
  <c r="N67" i="47"/>
  <c r="D43" i="47"/>
  <c r="N44" i="47" l="1"/>
  <c r="J44" i="47"/>
  <c r="F44" i="47"/>
  <c r="T169" i="47" l="1"/>
  <c r="S280" i="47" l="1"/>
  <c r="R280" i="47"/>
  <c r="Q280" i="47"/>
  <c r="P280" i="47"/>
  <c r="R268" i="47"/>
  <c r="R216" i="47" s="1"/>
  <c r="P268" i="47"/>
  <c r="Q216" i="47" s="1"/>
  <c r="S265" i="47"/>
  <c r="S264" i="47"/>
  <c r="S263" i="47"/>
  <c r="S262" i="47"/>
  <c r="S261" i="47"/>
  <c r="S260" i="47"/>
  <c r="S259" i="47"/>
  <c r="R256" i="47"/>
  <c r="S254" i="47" s="1"/>
  <c r="P256" i="47"/>
  <c r="Q253" i="47" s="1"/>
  <c r="R242" i="47"/>
  <c r="P242" i="47"/>
  <c r="R241" i="47"/>
  <c r="P241" i="47"/>
  <c r="R240" i="47"/>
  <c r="P240" i="47"/>
  <c r="R239" i="47"/>
  <c r="P239" i="47"/>
  <c r="R238" i="47"/>
  <c r="P238" i="47"/>
  <c r="R237" i="47"/>
  <c r="P237" i="47"/>
  <c r="R236" i="47"/>
  <c r="P236" i="47"/>
  <c r="R235" i="47"/>
  <c r="P235" i="47"/>
  <c r="R221" i="47"/>
  <c r="R201" i="47"/>
  <c r="T181" i="47"/>
  <c r="T167" i="47"/>
  <c r="T166" i="47"/>
  <c r="T148" i="47"/>
  <c r="B135" i="47"/>
  <c r="B196" i="47" s="1"/>
  <c r="B297" i="47" s="1"/>
  <c r="R123" i="47"/>
  <c r="R121" i="47"/>
  <c r="R114" i="47"/>
  <c r="A114" i="47"/>
  <c r="A115" i="47" s="1"/>
  <c r="A116" i="47" s="1"/>
  <c r="A117" i="47" s="1"/>
  <c r="A118" i="47" s="1"/>
  <c r="A119" i="47" s="1"/>
  <c r="A102" i="47"/>
  <c r="A103" i="47" s="1"/>
  <c r="R97" i="47"/>
  <c r="R96" i="47"/>
  <c r="T95" i="47"/>
  <c r="T99" i="47" s="1"/>
  <c r="T119" i="47" s="1"/>
  <c r="R95" i="47"/>
  <c r="L86" i="47"/>
  <c r="T81" i="47"/>
  <c r="T80" i="47"/>
  <c r="R70" i="47"/>
  <c r="P70" i="47"/>
  <c r="L70" i="47"/>
  <c r="L83" i="47" s="1"/>
  <c r="J70" i="47"/>
  <c r="J83" i="47" s="1"/>
  <c r="T67" i="47"/>
  <c r="T70" i="47" s="1"/>
  <c r="P57" i="47"/>
  <c r="P56" i="47"/>
  <c r="T50" i="47"/>
  <c r="N43" i="47"/>
  <c r="J43" i="47"/>
  <c r="F43" i="47"/>
  <c r="P36" i="47"/>
  <c r="N36" i="47"/>
  <c r="L36" i="47"/>
  <c r="J36" i="47"/>
  <c r="H36" i="47"/>
  <c r="F36" i="47"/>
  <c r="P35" i="47"/>
  <c r="L35" i="47"/>
  <c r="H35" i="47"/>
  <c r="F35" i="47"/>
  <c r="T34" i="47"/>
  <c r="Q179" i="47" s="1"/>
  <c r="P33" i="47"/>
  <c r="N33" i="47"/>
  <c r="L33" i="47"/>
  <c r="H33" i="47"/>
  <c r="F33" i="47"/>
  <c r="P32" i="47"/>
  <c r="N32" i="47"/>
  <c r="N35" i="47" s="1"/>
  <c r="H32" i="47"/>
  <c r="Q259" i="47" l="1"/>
  <c r="Q260" i="47"/>
  <c r="Q261" i="47"/>
  <c r="Q262" i="47"/>
  <c r="Q263" i="47"/>
  <c r="Q264" i="47"/>
  <c r="Q265" i="47"/>
  <c r="Q266" i="47"/>
  <c r="S266" i="47"/>
  <c r="S268" i="47" s="1"/>
  <c r="Q247" i="47"/>
  <c r="Q251" i="47"/>
  <c r="Q250" i="47"/>
  <c r="Q254" i="47"/>
  <c r="T139" i="47"/>
  <c r="T36" i="47"/>
  <c r="R99" i="47"/>
  <c r="Q248" i="47"/>
  <c r="Q252" i="47"/>
  <c r="Q249" i="47"/>
  <c r="R131" i="47"/>
  <c r="R132" i="47" s="1"/>
  <c r="T168" i="47"/>
  <c r="T51" i="47"/>
  <c r="R244" i="47"/>
  <c r="S242" i="47" s="1"/>
  <c r="S247" i="47"/>
  <c r="R282" i="47"/>
  <c r="S248" i="47"/>
  <c r="S249" i="47"/>
  <c r="S250" i="47"/>
  <c r="S251" i="47"/>
  <c r="S252" i="47"/>
  <c r="S253" i="47"/>
  <c r="P244" i="47"/>
  <c r="Q242" i="47" s="1"/>
  <c r="P282" i="47"/>
  <c r="T35" i="47"/>
  <c r="T43" i="47" s="1"/>
  <c r="T174" i="47"/>
  <c r="T83" i="47"/>
  <c r="T175" i="47" s="1"/>
  <c r="R205" i="47"/>
  <c r="T189" i="47"/>
  <c r="T191" i="47"/>
  <c r="T187" i="47"/>
  <c r="T131" i="47"/>
  <c r="T132" i="47" s="1"/>
  <c r="N70" i="47"/>
  <c r="R211" i="47"/>
  <c r="T52" i="47"/>
  <c r="T107" i="46"/>
  <c r="T104" i="46"/>
  <c r="T91" i="46"/>
  <c r="T90" i="46"/>
  <c r="R89" i="46"/>
  <c r="N68" i="46"/>
  <c r="Q239" i="47" l="1"/>
  <c r="Q256" i="47"/>
  <c r="Q235" i="47"/>
  <c r="Q237" i="47"/>
  <c r="Q236" i="47"/>
  <c r="Q240" i="47"/>
  <c r="Q238" i="47"/>
  <c r="Q268" i="47"/>
  <c r="S235" i="47"/>
  <c r="S237" i="47"/>
  <c r="R203" i="47"/>
  <c r="R204" i="47" s="1"/>
  <c r="S236" i="47"/>
  <c r="S238" i="47"/>
  <c r="S239" i="47"/>
  <c r="S240" i="47"/>
  <c r="S241" i="47"/>
  <c r="Q241" i="47"/>
  <c r="S256" i="47"/>
  <c r="N44" i="46"/>
  <c r="J44" i="46"/>
  <c r="F44" i="46"/>
  <c r="Q244" i="47" l="1"/>
  <c r="S244" i="47"/>
  <c r="S281" i="46"/>
  <c r="R281" i="46"/>
  <c r="Q281" i="46"/>
  <c r="P281" i="46"/>
  <c r="R269" i="46"/>
  <c r="R217" i="46" s="1"/>
  <c r="P269" i="46"/>
  <c r="Q217" i="46" s="1"/>
  <c r="R257" i="46"/>
  <c r="S254" i="46" s="1"/>
  <c r="P257" i="46"/>
  <c r="Q255" i="46" s="1"/>
  <c r="Q253" i="46"/>
  <c r="S252" i="46"/>
  <c r="Q252" i="46"/>
  <c r="Q249" i="46"/>
  <c r="S248" i="46"/>
  <c r="Q248" i="46"/>
  <c r="R243" i="46"/>
  <c r="P243" i="46"/>
  <c r="R242" i="46"/>
  <c r="P242" i="46"/>
  <c r="R241" i="46"/>
  <c r="P241" i="46"/>
  <c r="R240" i="46"/>
  <c r="P240" i="46"/>
  <c r="R239" i="46"/>
  <c r="P239" i="46"/>
  <c r="R238" i="46"/>
  <c r="P238" i="46"/>
  <c r="R237" i="46"/>
  <c r="P237" i="46"/>
  <c r="R236" i="46"/>
  <c r="P236" i="46"/>
  <c r="R222" i="46"/>
  <c r="R212" i="46"/>
  <c r="R202" i="46"/>
  <c r="T182" i="46"/>
  <c r="T168" i="46"/>
  <c r="T167" i="46"/>
  <c r="T149" i="46"/>
  <c r="B136" i="46"/>
  <c r="B197" i="46" s="1"/>
  <c r="B293" i="46" s="1"/>
  <c r="R124" i="46"/>
  <c r="R122" i="46"/>
  <c r="R115" i="46"/>
  <c r="A115" i="46"/>
  <c r="A116" i="46" s="1"/>
  <c r="A117" i="46" s="1"/>
  <c r="A118" i="46" s="1"/>
  <c r="A119" i="46" s="1"/>
  <c r="A120" i="46" s="1"/>
  <c r="A103" i="46"/>
  <c r="A104" i="46" s="1"/>
  <c r="R98" i="46"/>
  <c r="R97" i="46"/>
  <c r="R96" i="46"/>
  <c r="T96" i="46"/>
  <c r="T100" i="46" s="1"/>
  <c r="L87" i="46"/>
  <c r="T82" i="46"/>
  <c r="T81" i="46"/>
  <c r="R71" i="46"/>
  <c r="P71" i="46"/>
  <c r="L71" i="46"/>
  <c r="L84" i="46" s="1"/>
  <c r="J71" i="46"/>
  <c r="J84" i="46" s="1"/>
  <c r="T68" i="46"/>
  <c r="T71" i="46" s="1"/>
  <c r="N71" i="46"/>
  <c r="P58" i="46"/>
  <c r="P57" i="46"/>
  <c r="T50" i="46"/>
  <c r="N43" i="46"/>
  <c r="J43" i="46"/>
  <c r="F43" i="46"/>
  <c r="P36" i="46"/>
  <c r="N36" i="46"/>
  <c r="L36" i="46"/>
  <c r="J36" i="46"/>
  <c r="H36" i="46"/>
  <c r="F36" i="46"/>
  <c r="P35" i="46"/>
  <c r="L35" i="46"/>
  <c r="H35" i="46"/>
  <c r="F35" i="46"/>
  <c r="T34" i="46"/>
  <c r="Q180" i="46" s="1"/>
  <c r="P33" i="46"/>
  <c r="N33" i="46"/>
  <c r="L33" i="46"/>
  <c r="J33" i="46"/>
  <c r="H33" i="46"/>
  <c r="F33" i="46"/>
  <c r="P32" i="46"/>
  <c r="N32" i="46"/>
  <c r="N35" i="46" s="1"/>
  <c r="L32" i="46"/>
  <c r="J32" i="46"/>
  <c r="J35" i="46" s="1"/>
  <c r="H32" i="46"/>
  <c r="F32" i="46"/>
  <c r="Q260" i="46" l="1"/>
  <c r="S250" i="46"/>
  <c r="S260" i="46"/>
  <c r="S264" i="46"/>
  <c r="Q264" i="46"/>
  <c r="Q262" i="46"/>
  <c r="Q266" i="46"/>
  <c r="S262" i="46"/>
  <c r="S266" i="46"/>
  <c r="Q261" i="46"/>
  <c r="Q263" i="46"/>
  <c r="Q265" i="46"/>
  <c r="Q267" i="46"/>
  <c r="S261" i="46"/>
  <c r="S263" i="46"/>
  <c r="S265" i="46"/>
  <c r="S267" i="46"/>
  <c r="R100" i="46"/>
  <c r="R132" i="46"/>
  <c r="R133" i="46" s="1"/>
  <c r="T36" i="46"/>
  <c r="Q250" i="46"/>
  <c r="Q251" i="46"/>
  <c r="Q254" i="46"/>
  <c r="R283" i="46"/>
  <c r="S249" i="46"/>
  <c r="S251" i="46"/>
  <c r="S255" i="46"/>
  <c r="S253" i="46"/>
  <c r="T169" i="46"/>
  <c r="T51" i="46"/>
  <c r="T35" i="46"/>
  <c r="T43" i="46" s="1"/>
  <c r="R204" i="46" s="1"/>
  <c r="R205" i="46" s="1"/>
  <c r="R245" i="46"/>
  <c r="S243" i="46" s="1"/>
  <c r="P245" i="46"/>
  <c r="Q242" i="46" s="1"/>
  <c r="P283" i="46"/>
  <c r="T175" i="46"/>
  <c r="T84" i="46"/>
  <c r="T176" i="46" s="1"/>
  <c r="R206" i="46"/>
  <c r="T190" i="46"/>
  <c r="T120" i="46"/>
  <c r="T132" i="46" s="1"/>
  <c r="T133" i="46" s="1"/>
  <c r="T192" i="46"/>
  <c r="T188" i="46"/>
  <c r="Q243" i="46"/>
  <c r="Q239" i="46"/>
  <c r="T52" i="46"/>
  <c r="T140" i="46"/>
  <c r="S236" i="46" l="1"/>
  <c r="S238" i="46"/>
  <c r="S241" i="46"/>
  <c r="Q237" i="46"/>
  <c r="Q241" i="46"/>
  <c r="S269" i="46"/>
  <c r="Q269" i="46"/>
  <c r="S237" i="46"/>
  <c r="S240" i="46"/>
  <c r="S242" i="46"/>
  <c r="Q257" i="46"/>
  <c r="Q236" i="46"/>
  <c r="Q238" i="46"/>
  <c r="Q240" i="46"/>
  <c r="S257" i="46"/>
  <c r="S239" i="46"/>
  <c r="T107" i="45"/>
  <c r="T104" i="45"/>
  <c r="T91" i="45"/>
  <c r="T90" i="45"/>
  <c r="R89" i="45"/>
  <c r="N68" i="45"/>
  <c r="N44" i="45"/>
  <c r="J44" i="45"/>
  <c r="F44" i="45"/>
  <c r="S245" i="46" l="1"/>
  <c r="Q245" i="46"/>
  <c r="T170" i="45"/>
  <c r="S281" i="45" l="1"/>
  <c r="R281" i="45"/>
  <c r="Q281" i="45"/>
  <c r="P281" i="45"/>
  <c r="R269" i="45"/>
  <c r="R217" i="45" s="1"/>
  <c r="P269" i="45"/>
  <c r="Q217" i="45" s="1"/>
  <c r="S267" i="45"/>
  <c r="Q267" i="45"/>
  <c r="S266" i="45"/>
  <c r="Q266" i="45"/>
  <c r="S265" i="45"/>
  <c r="Q265" i="45"/>
  <c r="S264" i="45"/>
  <c r="Q264" i="45"/>
  <c r="S263" i="45"/>
  <c r="Q263" i="45"/>
  <c r="S262" i="45"/>
  <c r="Q262" i="45"/>
  <c r="S261" i="45"/>
  <c r="Q261" i="45"/>
  <c r="S260" i="45"/>
  <c r="Q260" i="45"/>
  <c r="R257" i="45"/>
  <c r="S255" i="45" s="1"/>
  <c r="P257" i="45"/>
  <c r="Q252" i="45" s="1"/>
  <c r="R243" i="45"/>
  <c r="P243" i="45"/>
  <c r="R242" i="45"/>
  <c r="P242" i="45"/>
  <c r="R241" i="45"/>
  <c r="P241" i="45"/>
  <c r="R240" i="45"/>
  <c r="P240" i="45"/>
  <c r="R239" i="45"/>
  <c r="P239" i="45"/>
  <c r="R238" i="45"/>
  <c r="P238" i="45"/>
  <c r="R237" i="45"/>
  <c r="P237" i="45"/>
  <c r="R236" i="45"/>
  <c r="P236" i="45"/>
  <c r="R222" i="45"/>
  <c r="R202" i="45"/>
  <c r="T182" i="45"/>
  <c r="T168" i="45"/>
  <c r="T167" i="45"/>
  <c r="T149" i="45"/>
  <c r="B136" i="45"/>
  <c r="B197" i="45" s="1"/>
  <c r="B293" i="45" s="1"/>
  <c r="R124" i="45"/>
  <c r="R122" i="45"/>
  <c r="R115" i="45"/>
  <c r="A115" i="45"/>
  <c r="A116" i="45" s="1"/>
  <c r="A117" i="45" s="1"/>
  <c r="A118" i="45" s="1"/>
  <c r="A119" i="45" s="1"/>
  <c r="A120" i="45" s="1"/>
  <c r="A103" i="45"/>
  <c r="A104" i="45" s="1"/>
  <c r="R98" i="45"/>
  <c r="R97" i="45"/>
  <c r="T96" i="45"/>
  <c r="T100" i="45" s="1"/>
  <c r="R96" i="45"/>
  <c r="L87" i="45"/>
  <c r="T82" i="45"/>
  <c r="T81" i="45"/>
  <c r="R71" i="45"/>
  <c r="P71" i="45"/>
  <c r="L71" i="45"/>
  <c r="L84" i="45" s="1"/>
  <c r="J71" i="45"/>
  <c r="J84" i="45" s="1"/>
  <c r="T68" i="45"/>
  <c r="T71" i="45" s="1"/>
  <c r="P58" i="45"/>
  <c r="P57" i="45"/>
  <c r="T50" i="45"/>
  <c r="N43" i="45"/>
  <c r="J43" i="45"/>
  <c r="F43" i="45"/>
  <c r="P36" i="45"/>
  <c r="N36" i="45"/>
  <c r="L36" i="45"/>
  <c r="J36" i="45"/>
  <c r="H36" i="45"/>
  <c r="F36" i="45"/>
  <c r="D36" i="45"/>
  <c r="P35" i="45"/>
  <c r="L35" i="45"/>
  <c r="H35" i="45"/>
  <c r="F35" i="45"/>
  <c r="D35" i="45"/>
  <c r="T34" i="45"/>
  <c r="Q180" i="45" s="1"/>
  <c r="P33" i="45"/>
  <c r="N33" i="45"/>
  <c r="L33" i="45"/>
  <c r="J33" i="45"/>
  <c r="H33" i="45"/>
  <c r="F33" i="45"/>
  <c r="D33" i="45"/>
  <c r="P32" i="45"/>
  <c r="N32" i="45"/>
  <c r="N35" i="45" s="1"/>
  <c r="L32" i="45"/>
  <c r="J32" i="45"/>
  <c r="J35" i="45" s="1"/>
  <c r="H32" i="45"/>
  <c r="F32" i="45"/>
  <c r="D32" i="45"/>
  <c r="S250" i="45" l="1"/>
  <c r="Q250" i="45"/>
  <c r="P245" i="45"/>
  <c r="Q241" i="45" s="1"/>
  <c r="S248" i="45"/>
  <c r="S252" i="45"/>
  <c r="S249" i="45"/>
  <c r="S254" i="45"/>
  <c r="R100" i="45"/>
  <c r="Q248" i="45"/>
  <c r="Q254" i="45"/>
  <c r="Q249" i="45"/>
  <c r="Q251" i="45"/>
  <c r="Q253" i="45"/>
  <c r="Q255" i="45"/>
  <c r="Q269" i="45"/>
  <c r="S251" i="45"/>
  <c r="S253" i="45"/>
  <c r="S269" i="45"/>
  <c r="R132" i="45"/>
  <c r="T140" i="45"/>
  <c r="R283" i="45"/>
  <c r="R245" i="45"/>
  <c r="S242" i="45" s="1"/>
  <c r="P283" i="45"/>
  <c r="T169" i="45"/>
  <c r="T36" i="45"/>
  <c r="T51" i="45"/>
  <c r="T35" i="45"/>
  <c r="T175" i="45"/>
  <c r="T84" i="45"/>
  <c r="T176" i="45" s="1"/>
  <c r="R206" i="45"/>
  <c r="T190" i="45"/>
  <c r="T192" i="45"/>
  <c r="T188" i="45"/>
  <c r="T120" i="45"/>
  <c r="T132" i="45" s="1"/>
  <c r="T133" i="45" s="1"/>
  <c r="Q243" i="45"/>
  <c r="Q242" i="45"/>
  <c r="Q239" i="45"/>
  <c r="Q238" i="45"/>
  <c r="N71" i="45"/>
  <c r="R212" i="45"/>
  <c r="T52" i="45"/>
  <c r="T107" i="44"/>
  <c r="T104" i="44"/>
  <c r="T91" i="44"/>
  <c r="T90" i="44"/>
  <c r="R89" i="44"/>
  <c r="N68" i="44"/>
  <c r="N44" i="44"/>
  <c r="J44" i="44"/>
  <c r="F44" i="44"/>
  <c r="Q236" i="45" l="1"/>
  <c r="Q240" i="45"/>
  <c r="Q237" i="45"/>
  <c r="R133" i="45"/>
  <c r="S257" i="45"/>
  <c r="Q257" i="45"/>
  <c r="S243" i="45"/>
  <c r="S236" i="45"/>
  <c r="S239" i="45"/>
  <c r="T43" i="45"/>
  <c r="R204" i="45" s="1"/>
  <c r="R205" i="45" s="1"/>
  <c r="S237" i="45"/>
  <c r="S241" i="45"/>
  <c r="S238" i="45"/>
  <c r="S240" i="45"/>
  <c r="Q245" i="45"/>
  <c r="S281" i="44"/>
  <c r="R281" i="44"/>
  <c r="Q281" i="44"/>
  <c r="P281" i="44"/>
  <c r="R269" i="44"/>
  <c r="S267" i="44" s="1"/>
  <c r="P269" i="44"/>
  <c r="Q267" i="44" s="1"/>
  <c r="Q266" i="44"/>
  <c r="Q262" i="44"/>
  <c r="R257" i="44"/>
  <c r="S255" i="44" s="1"/>
  <c r="P257" i="44"/>
  <c r="Q255" i="44" s="1"/>
  <c r="Q252" i="44"/>
  <c r="R243" i="44"/>
  <c r="P243" i="44"/>
  <c r="R242" i="44"/>
  <c r="P242" i="44"/>
  <c r="R241" i="44"/>
  <c r="P241" i="44"/>
  <c r="R240" i="44"/>
  <c r="P240" i="44"/>
  <c r="R239" i="44"/>
  <c r="P239" i="44"/>
  <c r="R238" i="44"/>
  <c r="P238" i="44"/>
  <c r="R237" i="44"/>
  <c r="P237" i="44"/>
  <c r="R236" i="44"/>
  <c r="P236" i="44"/>
  <c r="R222" i="44"/>
  <c r="Q217" i="44"/>
  <c r="R202" i="44"/>
  <c r="T182" i="44"/>
  <c r="T168" i="44"/>
  <c r="T167" i="44"/>
  <c r="T149" i="44"/>
  <c r="B136" i="44"/>
  <c r="B197" i="44" s="1"/>
  <c r="B293" i="44" s="1"/>
  <c r="R124" i="44"/>
  <c r="R122" i="44"/>
  <c r="R115" i="44"/>
  <c r="A115" i="44"/>
  <c r="A116" i="44" s="1"/>
  <c r="A117" i="44" s="1"/>
  <c r="A118" i="44" s="1"/>
  <c r="A119" i="44" s="1"/>
  <c r="A120" i="44" s="1"/>
  <c r="A103" i="44"/>
  <c r="A104" i="44" s="1"/>
  <c r="R98" i="44"/>
  <c r="R97" i="44"/>
  <c r="T96" i="44"/>
  <c r="T100" i="44" s="1"/>
  <c r="R96" i="44"/>
  <c r="L87" i="44"/>
  <c r="T82" i="44"/>
  <c r="T81" i="44"/>
  <c r="R71" i="44"/>
  <c r="N71" i="44"/>
  <c r="L71" i="44"/>
  <c r="L84" i="44" s="1"/>
  <c r="J71" i="44"/>
  <c r="J84" i="44" s="1"/>
  <c r="P71" i="44"/>
  <c r="R212" i="44"/>
  <c r="P58" i="44"/>
  <c r="P57" i="44"/>
  <c r="T50" i="44"/>
  <c r="N43" i="44"/>
  <c r="J43" i="44"/>
  <c r="F43" i="44"/>
  <c r="P36" i="44"/>
  <c r="N36" i="44"/>
  <c r="L36" i="44"/>
  <c r="J36" i="44"/>
  <c r="H36" i="44"/>
  <c r="F36" i="44"/>
  <c r="D36" i="44"/>
  <c r="P35" i="44"/>
  <c r="L35" i="44"/>
  <c r="H35" i="44"/>
  <c r="F35" i="44"/>
  <c r="D35" i="44"/>
  <c r="T34" i="44"/>
  <c r="P33" i="44"/>
  <c r="N33" i="44"/>
  <c r="L33" i="44"/>
  <c r="J33" i="44"/>
  <c r="H33" i="44"/>
  <c r="F33" i="44"/>
  <c r="D33" i="44"/>
  <c r="P32" i="44"/>
  <c r="N32" i="44"/>
  <c r="N35" i="44" s="1"/>
  <c r="L32" i="44"/>
  <c r="J32" i="44"/>
  <c r="J35" i="44" s="1"/>
  <c r="H32" i="44"/>
  <c r="F32" i="44"/>
  <c r="D32" i="44"/>
  <c r="Q248" i="44" l="1"/>
  <c r="Q260" i="44"/>
  <c r="Q250" i="44"/>
  <c r="Q254" i="44"/>
  <c r="R100" i="44"/>
  <c r="Q264" i="44"/>
  <c r="R132" i="44"/>
  <c r="T169" i="44"/>
  <c r="Q249" i="44"/>
  <c r="Q251" i="44"/>
  <c r="Q253" i="44"/>
  <c r="Q261" i="44"/>
  <c r="Q263" i="44"/>
  <c r="Q265" i="44"/>
  <c r="S245" i="45"/>
  <c r="R133" i="44"/>
  <c r="T36" i="44"/>
  <c r="T35" i="44"/>
  <c r="T43" i="44" s="1"/>
  <c r="R204" i="44" s="1"/>
  <c r="R205" i="44" s="1"/>
  <c r="R283" i="44"/>
  <c r="P283" i="44"/>
  <c r="Q180" i="44"/>
  <c r="T140" i="44"/>
  <c r="T52" i="44"/>
  <c r="T51" i="44"/>
  <c r="T192" i="44"/>
  <c r="T188" i="44"/>
  <c r="R206" i="44"/>
  <c r="T190" i="44"/>
  <c r="T120" i="44"/>
  <c r="T132" i="44" s="1"/>
  <c r="T133" i="44" s="1"/>
  <c r="P245" i="44"/>
  <c r="Q237" i="44" s="1"/>
  <c r="R245" i="44"/>
  <c r="S237" i="44" s="1"/>
  <c r="T68" i="44"/>
  <c r="T71" i="44" s="1"/>
  <c r="R217" i="44"/>
  <c r="S248" i="44"/>
  <c r="S249" i="44"/>
  <c r="S250" i="44"/>
  <c r="S251" i="44"/>
  <c r="S252" i="44"/>
  <c r="S253" i="44"/>
  <c r="S254" i="44"/>
  <c r="S260" i="44"/>
  <c r="S261" i="44"/>
  <c r="S262" i="44"/>
  <c r="S263" i="44"/>
  <c r="S264" i="44"/>
  <c r="S265" i="44"/>
  <c r="S266" i="44"/>
  <c r="T107" i="43"/>
  <c r="T104" i="43"/>
  <c r="T91" i="43"/>
  <c r="T90" i="43"/>
  <c r="Q182" i="43"/>
  <c r="R89" i="43"/>
  <c r="P68" i="43"/>
  <c r="N68" i="43"/>
  <c r="N44" i="43"/>
  <c r="J44" i="43"/>
  <c r="F44" i="43"/>
  <c r="Q269" i="44" l="1"/>
  <c r="Q257" i="44"/>
  <c r="Q236" i="44"/>
  <c r="Q240" i="44"/>
  <c r="Q242" i="44"/>
  <c r="Q238" i="44"/>
  <c r="S269" i="44"/>
  <c r="S242" i="44"/>
  <c r="S240" i="44"/>
  <c r="S238" i="44"/>
  <c r="S236" i="44"/>
  <c r="S257" i="44"/>
  <c r="T175" i="44"/>
  <c r="T84" i="44"/>
  <c r="T176" i="44" s="1"/>
  <c r="S243" i="44"/>
  <c r="S241" i="44"/>
  <c r="S239" i="44"/>
  <c r="Q243" i="44"/>
  <c r="Q241" i="44"/>
  <c r="Q239" i="44"/>
  <c r="S281" i="43"/>
  <c r="R281" i="43"/>
  <c r="Q281" i="43"/>
  <c r="P281" i="43"/>
  <c r="R269" i="43"/>
  <c r="S266" i="43" s="1"/>
  <c r="P269" i="43"/>
  <c r="Q267" i="43" s="1"/>
  <c r="R257" i="43"/>
  <c r="S254" i="43" s="1"/>
  <c r="P257" i="43"/>
  <c r="Q255" i="43" s="1"/>
  <c r="R243" i="43"/>
  <c r="P243" i="43"/>
  <c r="R242" i="43"/>
  <c r="P242" i="43"/>
  <c r="R241" i="43"/>
  <c r="P241" i="43"/>
  <c r="R240" i="43"/>
  <c r="P240" i="43"/>
  <c r="R239" i="43"/>
  <c r="P239" i="43"/>
  <c r="R238" i="43"/>
  <c r="P238" i="43"/>
  <c r="R237" i="43"/>
  <c r="P237" i="43"/>
  <c r="R236" i="43"/>
  <c r="P236" i="43"/>
  <c r="R222" i="43"/>
  <c r="R212" i="43"/>
  <c r="R202" i="43"/>
  <c r="T182" i="43"/>
  <c r="T168" i="43"/>
  <c r="T167" i="43"/>
  <c r="T149" i="43"/>
  <c r="B136" i="43"/>
  <c r="B197" i="43" s="1"/>
  <c r="B293" i="43" s="1"/>
  <c r="R124" i="43"/>
  <c r="R122" i="43"/>
  <c r="R115" i="43"/>
  <c r="A115" i="43"/>
  <c r="A116" i="43" s="1"/>
  <c r="A117" i="43" s="1"/>
  <c r="A118" i="43" s="1"/>
  <c r="A119" i="43" s="1"/>
  <c r="A120" i="43" s="1"/>
  <c r="A103" i="43"/>
  <c r="A104" i="43" s="1"/>
  <c r="R98" i="43"/>
  <c r="R97" i="43"/>
  <c r="R96" i="43"/>
  <c r="T96" i="43"/>
  <c r="T100" i="43" s="1"/>
  <c r="L87" i="43"/>
  <c r="T82" i="43"/>
  <c r="T81" i="43"/>
  <c r="R71" i="43"/>
  <c r="P71" i="43"/>
  <c r="N71" i="43"/>
  <c r="L71" i="43"/>
  <c r="L84" i="43" s="1"/>
  <c r="J71" i="43"/>
  <c r="J84" i="43" s="1"/>
  <c r="T68" i="43"/>
  <c r="T71" i="43" s="1"/>
  <c r="P58" i="43"/>
  <c r="P57" i="43"/>
  <c r="T50" i="43"/>
  <c r="N43" i="43"/>
  <c r="J43" i="43"/>
  <c r="F43" i="43"/>
  <c r="P36" i="43"/>
  <c r="N36" i="43"/>
  <c r="L36" i="43"/>
  <c r="J36" i="43"/>
  <c r="H36" i="43"/>
  <c r="F36" i="43"/>
  <c r="D36" i="43"/>
  <c r="P35" i="43"/>
  <c r="L35" i="43"/>
  <c r="H35" i="43"/>
  <c r="F35" i="43"/>
  <c r="D35" i="43"/>
  <c r="T34" i="43"/>
  <c r="Q180" i="43" s="1"/>
  <c r="P33" i="43"/>
  <c r="N33" i="43"/>
  <c r="L33" i="43"/>
  <c r="J33" i="43"/>
  <c r="H33" i="43"/>
  <c r="F33" i="43"/>
  <c r="D33" i="43"/>
  <c r="P32" i="43"/>
  <c r="N32" i="43"/>
  <c r="N35" i="43" s="1"/>
  <c r="L32" i="43"/>
  <c r="J32" i="43"/>
  <c r="J35" i="43" s="1"/>
  <c r="H32" i="43"/>
  <c r="F32" i="43"/>
  <c r="D32" i="43"/>
  <c r="S253" i="43" l="1"/>
  <c r="R100" i="43"/>
  <c r="Q248" i="43"/>
  <c r="T51" i="43"/>
  <c r="S251" i="43"/>
  <c r="Q245" i="44"/>
  <c r="S245" i="44"/>
  <c r="R132" i="43"/>
  <c r="R133" i="43" s="1"/>
  <c r="T169" i="43"/>
  <c r="R283" i="43"/>
  <c r="S261" i="43"/>
  <c r="R217" i="43"/>
  <c r="S263" i="43"/>
  <c r="S265" i="43"/>
  <c r="S267" i="43"/>
  <c r="Q217" i="43"/>
  <c r="Q260" i="43"/>
  <c r="Q264" i="43"/>
  <c r="Q262" i="43"/>
  <c r="Q266" i="43"/>
  <c r="S255" i="43"/>
  <c r="R245" i="43"/>
  <c r="S238" i="43" s="1"/>
  <c r="S249" i="43"/>
  <c r="Q250" i="43"/>
  <c r="P283" i="43"/>
  <c r="R206" i="43"/>
  <c r="T120" i="43"/>
  <c r="T132" i="43" s="1"/>
  <c r="T133" i="43" s="1"/>
  <c r="T192" i="43"/>
  <c r="T190" i="43"/>
  <c r="T188" i="43"/>
  <c r="T175" i="43"/>
  <c r="T84" i="43"/>
  <c r="T176" i="43" s="1"/>
  <c r="T35" i="43"/>
  <c r="T43" i="43" s="1"/>
  <c r="R204" i="43" s="1"/>
  <c r="R205" i="43" s="1"/>
  <c r="S240" i="43"/>
  <c r="S236" i="43"/>
  <c r="P245" i="43"/>
  <c r="Q238" i="43" s="1"/>
  <c r="T52" i="43"/>
  <c r="S248" i="43"/>
  <c r="S250" i="43"/>
  <c r="S252" i="43"/>
  <c r="S260" i="43"/>
  <c r="S262" i="43"/>
  <c r="S264" i="43"/>
  <c r="T36" i="43"/>
  <c r="Q252" i="43"/>
  <c r="Q254" i="43"/>
  <c r="T140" i="43"/>
  <c r="Q249" i="43"/>
  <c r="Q251" i="43"/>
  <c r="Q253" i="43"/>
  <c r="Q261" i="43"/>
  <c r="Q263" i="43"/>
  <c r="Q265" i="43"/>
  <c r="S239" i="43" l="1"/>
  <c r="S242" i="43"/>
  <c r="S241" i="43"/>
  <c r="S243" i="43"/>
  <c r="S237" i="43"/>
  <c r="Q269" i="43"/>
  <c r="S257" i="43"/>
  <c r="Q257" i="43"/>
  <c r="Q243" i="43"/>
  <c r="S269" i="43"/>
  <c r="Q236" i="43"/>
  <c r="Q241" i="43"/>
  <c r="Q242" i="43"/>
  <c r="Q237" i="43"/>
  <c r="Q239" i="43"/>
  <c r="Q240" i="43"/>
  <c r="S245" i="43" l="1"/>
  <c r="Q245" i="43"/>
  <c r="T107" i="42"/>
  <c r="T104" i="42"/>
  <c r="T91" i="42"/>
  <c r="T90" i="42"/>
  <c r="R89" i="42"/>
  <c r="N68" i="42"/>
  <c r="N44" i="42"/>
  <c r="J44" i="42"/>
  <c r="F44" i="42"/>
  <c r="S281" i="42" l="1"/>
  <c r="R281" i="42"/>
  <c r="Q281" i="42"/>
  <c r="P281" i="42"/>
  <c r="R269" i="42"/>
  <c r="S267" i="42" s="1"/>
  <c r="P269" i="42"/>
  <c r="Q267" i="42" s="1"/>
  <c r="R257" i="42"/>
  <c r="S255" i="42" s="1"/>
  <c r="P257" i="42"/>
  <c r="Q255" i="42" s="1"/>
  <c r="R243" i="42"/>
  <c r="P243" i="42"/>
  <c r="R242" i="42"/>
  <c r="P242" i="42"/>
  <c r="R241" i="42"/>
  <c r="P241" i="42"/>
  <c r="R240" i="42"/>
  <c r="P240" i="42"/>
  <c r="R239" i="42"/>
  <c r="P239" i="42"/>
  <c r="R238" i="42"/>
  <c r="P238" i="42"/>
  <c r="R237" i="42"/>
  <c r="P237" i="42"/>
  <c r="R236" i="42"/>
  <c r="P236" i="42"/>
  <c r="R222" i="42"/>
  <c r="R202" i="42"/>
  <c r="R124" i="42"/>
  <c r="T170" i="42"/>
  <c r="T168" i="42"/>
  <c r="T167" i="42"/>
  <c r="T149" i="42"/>
  <c r="B136" i="42"/>
  <c r="B197" i="42" s="1"/>
  <c r="B293" i="42" s="1"/>
  <c r="R122" i="42"/>
  <c r="R115" i="42"/>
  <c r="A115" i="42"/>
  <c r="A116" i="42" s="1"/>
  <c r="A117" i="42" s="1"/>
  <c r="A118" i="42" s="1"/>
  <c r="A119" i="42" s="1"/>
  <c r="A120" i="42" s="1"/>
  <c r="A103" i="42"/>
  <c r="A104" i="42" s="1"/>
  <c r="R98" i="42"/>
  <c r="R97" i="42"/>
  <c r="T96" i="42"/>
  <c r="T100" i="42" s="1"/>
  <c r="R96" i="42"/>
  <c r="L87" i="42"/>
  <c r="T82" i="42"/>
  <c r="T81" i="42"/>
  <c r="R71" i="42"/>
  <c r="P71" i="42"/>
  <c r="L71" i="42"/>
  <c r="L84" i="42" s="1"/>
  <c r="J71" i="42"/>
  <c r="J84" i="42" s="1"/>
  <c r="T68" i="42"/>
  <c r="T71" i="42" s="1"/>
  <c r="R212" i="42"/>
  <c r="P58" i="42"/>
  <c r="P57" i="42"/>
  <c r="T50" i="42"/>
  <c r="N43" i="42"/>
  <c r="J43" i="42"/>
  <c r="F43" i="42"/>
  <c r="P36" i="42"/>
  <c r="N36" i="42"/>
  <c r="L36" i="42"/>
  <c r="J36" i="42"/>
  <c r="H36" i="42"/>
  <c r="F36" i="42"/>
  <c r="D36" i="42"/>
  <c r="P35" i="42"/>
  <c r="L35" i="42"/>
  <c r="H35" i="42"/>
  <c r="F35" i="42"/>
  <c r="D35" i="42"/>
  <c r="T34" i="42"/>
  <c r="T52" i="42" s="1"/>
  <c r="P33" i="42"/>
  <c r="N33" i="42"/>
  <c r="L33" i="42"/>
  <c r="J33" i="42"/>
  <c r="H33" i="42"/>
  <c r="F33" i="42"/>
  <c r="D33" i="42"/>
  <c r="P32" i="42"/>
  <c r="N32" i="42"/>
  <c r="N35" i="42" s="1"/>
  <c r="L32" i="42"/>
  <c r="J32" i="42"/>
  <c r="J35" i="42" s="1"/>
  <c r="H32" i="42"/>
  <c r="F32" i="42"/>
  <c r="D32" i="42"/>
  <c r="R132" i="42" l="1"/>
  <c r="R100" i="42"/>
  <c r="R133" i="42" s="1"/>
  <c r="Q264" i="42"/>
  <c r="T169" i="42"/>
  <c r="T36" i="42"/>
  <c r="T51" i="42"/>
  <c r="R217" i="42"/>
  <c r="S260" i="42"/>
  <c r="S266" i="42"/>
  <c r="S264" i="42"/>
  <c r="S262" i="42"/>
  <c r="Q260" i="42"/>
  <c r="Q262" i="42"/>
  <c r="Q266" i="42"/>
  <c r="Q217" i="42"/>
  <c r="R283" i="42"/>
  <c r="S248" i="42"/>
  <c r="S250" i="42"/>
  <c r="S252" i="42"/>
  <c r="S254" i="42"/>
  <c r="Q248" i="42"/>
  <c r="Q252" i="42"/>
  <c r="P283" i="42"/>
  <c r="Q254" i="42"/>
  <c r="Q250" i="42"/>
  <c r="T35" i="42"/>
  <c r="T175" i="42"/>
  <c r="T84" i="42"/>
  <c r="T176" i="42" s="1"/>
  <c r="T188" i="42"/>
  <c r="R206" i="42"/>
  <c r="T192" i="42"/>
  <c r="T120" i="42"/>
  <c r="T190" i="42"/>
  <c r="P245" i="42"/>
  <c r="Q239" i="42" s="1"/>
  <c r="T140" i="42"/>
  <c r="Q180" i="42"/>
  <c r="T182" i="42"/>
  <c r="R245" i="42"/>
  <c r="S242" i="42" s="1"/>
  <c r="Q249" i="42"/>
  <c r="Q251" i="42"/>
  <c r="Q253" i="42"/>
  <c r="Q261" i="42"/>
  <c r="Q263" i="42"/>
  <c r="Q265" i="42"/>
  <c r="N71" i="42"/>
  <c r="S249" i="42"/>
  <c r="S251" i="42"/>
  <c r="S253" i="42"/>
  <c r="S261" i="42"/>
  <c r="S263" i="42"/>
  <c r="S265" i="42"/>
  <c r="T170" i="41"/>
  <c r="Q269" i="42" l="1"/>
  <c r="T132" i="42"/>
  <c r="T133" i="42" s="1"/>
  <c r="T43" i="42"/>
  <c r="R204" i="42" s="1"/>
  <c r="R205" i="42" s="1"/>
  <c r="S269" i="42"/>
  <c r="S239" i="42"/>
  <c r="S257" i="42"/>
  <c r="S237" i="42"/>
  <c r="S240" i="42"/>
  <c r="S238" i="42"/>
  <c r="S241" i="42"/>
  <c r="S236" i="42"/>
  <c r="Q237" i="42"/>
  <c r="Q241" i="42"/>
  <c r="Q240" i="42"/>
  <c r="Q236" i="42"/>
  <c r="Q257" i="42"/>
  <c r="Q242" i="42"/>
  <c r="Q243" i="42"/>
  <c r="Q238" i="42"/>
  <c r="S243" i="42"/>
  <c r="T107" i="41"/>
  <c r="T104" i="41"/>
  <c r="T91" i="41"/>
  <c r="T90" i="41"/>
  <c r="Q182" i="41"/>
  <c r="R89" i="41"/>
  <c r="P68" i="41"/>
  <c r="N68" i="41"/>
  <c r="N44" i="41"/>
  <c r="J44" i="41"/>
  <c r="F44" i="41"/>
  <c r="Q245" i="42" l="1"/>
  <c r="S245" i="42"/>
  <c r="S281" i="41"/>
  <c r="R281" i="41"/>
  <c r="Q281" i="41"/>
  <c r="P281" i="41"/>
  <c r="R269" i="41"/>
  <c r="S265" i="41" s="1"/>
  <c r="P269" i="41"/>
  <c r="Q267" i="41" s="1"/>
  <c r="R257" i="41"/>
  <c r="S254" i="41" s="1"/>
  <c r="P257" i="41"/>
  <c r="Q255" i="41" s="1"/>
  <c r="R243" i="41"/>
  <c r="P243" i="41"/>
  <c r="R242" i="41"/>
  <c r="P242" i="41"/>
  <c r="R241" i="41"/>
  <c r="P241" i="41"/>
  <c r="R240" i="41"/>
  <c r="P240" i="41"/>
  <c r="R239" i="41"/>
  <c r="P239" i="41"/>
  <c r="R238" i="41"/>
  <c r="P238" i="41"/>
  <c r="R237" i="41"/>
  <c r="P237" i="41"/>
  <c r="R236" i="41"/>
  <c r="P236" i="41"/>
  <c r="R222" i="41"/>
  <c r="R202" i="41"/>
  <c r="T182" i="41"/>
  <c r="T168" i="41"/>
  <c r="T167" i="41"/>
  <c r="T149" i="41"/>
  <c r="B136" i="41"/>
  <c r="B197" i="41" s="1"/>
  <c r="B293" i="41" s="1"/>
  <c r="R124" i="41"/>
  <c r="R122" i="41"/>
  <c r="R115" i="41"/>
  <c r="A115" i="41"/>
  <c r="A116" i="41" s="1"/>
  <c r="A117" i="41" s="1"/>
  <c r="A118" i="41" s="1"/>
  <c r="A119" i="41" s="1"/>
  <c r="A120" i="41" s="1"/>
  <c r="A103" i="41"/>
  <c r="A104" i="41" s="1"/>
  <c r="R98" i="41"/>
  <c r="R97" i="41"/>
  <c r="T96" i="41"/>
  <c r="T100" i="41" s="1"/>
  <c r="R96" i="41"/>
  <c r="L87" i="41"/>
  <c r="T82" i="41"/>
  <c r="T81" i="41"/>
  <c r="R71" i="41"/>
  <c r="L71" i="41"/>
  <c r="L84" i="41" s="1"/>
  <c r="J71" i="41"/>
  <c r="J84" i="41" s="1"/>
  <c r="P71" i="41"/>
  <c r="T68" i="41"/>
  <c r="T71" i="41" s="1"/>
  <c r="P58" i="41"/>
  <c r="P57" i="41"/>
  <c r="T50" i="41"/>
  <c r="N43" i="41"/>
  <c r="J43" i="41"/>
  <c r="F43" i="41"/>
  <c r="P36" i="41"/>
  <c r="N36" i="41"/>
  <c r="L36" i="41"/>
  <c r="J36" i="41"/>
  <c r="H36" i="41"/>
  <c r="F36" i="41"/>
  <c r="D36" i="41"/>
  <c r="P35" i="41"/>
  <c r="L35" i="41"/>
  <c r="H35" i="41"/>
  <c r="F35" i="41"/>
  <c r="D35" i="41"/>
  <c r="T34" i="41"/>
  <c r="T140" i="41" s="1"/>
  <c r="P33" i="41"/>
  <c r="N33" i="41"/>
  <c r="L33" i="41"/>
  <c r="J33" i="41"/>
  <c r="H33" i="41"/>
  <c r="F33" i="41"/>
  <c r="D33" i="41"/>
  <c r="P32" i="41"/>
  <c r="N32" i="41"/>
  <c r="N35" i="41" s="1"/>
  <c r="L32" i="41"/>
  <c r="J32" i="41"/>
  <c r="J35" i="41" s="1"/>
  <c r="H32" i="41"/>
  <c r="F32" i="41"/>
  <c r="D32" i="41"/>
  <c r="T169" i="41" l="1"/>
  <c r="R100" i="41"/>
  <c r="Q266" i="41"/>
  <c r="R132" i="41"/>
  <c r="R133" i="41" s="1"/>
  <c r="T51" i="41"/>
  <c r="T36" i="41"/>
  <c r="S263" i="41"/>
  <c r="S266" i="41"/>
  <c r="R217" i="41"/>
  <c r="S260" i="41"/>
  <c r="S264" i="41"/>
  <c r="S267" i="41"/>
  <c r="S262" i="41"/>
  <c r="S261" i="41"/>
  <c r="Q217" i="41"/>
  <c r="Q260" i="41"/>
  <c r="Q264" i="41"/>
  <c r="Q262" i="41"/>
  <c r="R245" i="41"/>
  <c r="S242" i="41" s="1"/>
  <c r="S249" i="41"/>
  <c r="S253" i="41"/>
  <c r="S251" i="41"/>
  <c r="S255" i="41"/>
  <c r="S248" i="41"/>
  <c r="S252" i="41"/>
  <c r="S250" i="41"/>
  <c r="R283" i="41"/>
  <c r="Q254" i="41"/>
  <c r="Q248" i="41"/>
  <c r="Q252" i="41"/>
  <c r="Q250" i="41"/>
  <c r="P283" i="41"/>
  <c r="T175" i="41"/>
  <c r="T84" i="41"/>
  <c r="T176" i="41" s="1"/>
  <c r="T35" i="41"/>
  <c r="R206" i="41"/>
  <c r="T120" i="41"/>
  <c r="T132" i="41" s="1"/>
  <c r="T133" i="41" s="1"/>
  <c r="T192" i="41"/>
  <c r="T190" i="41"/>
  <c r="T188" i="41"/>
  <c r="R212" i="41"/>
  <c r="T52" i="41"/>
  <c r="N71" i="41"/>
  <c r="P245" i="41"/>
  <c r="Q236" i="41" s="1"/>
  <c r="Q180" i="41"/>
  <c r="Q249" i="41"/>
  <c r="Q251" i="41"/>
  <c r="Q253" i="41"/>
  <c r="Q261" i="41"/>
  <c r="Q263" i="41"/>
  <c r="Q265" i="41"/>
  <c r="T107" i="40"/>
  <c r="T104" i="40"/>
  <c r="T91" i="40"/>
  <c r="T90" i="40"/>
  <c r="Q182" i="40"/>
  <c r="R89" i="40"/>
  <c r="P68" i="40"/>
  <c r="N68" i="40"/>
  <c r="N44" i="40"/>
  <c r="J44" i="40"/>
  <c r="F44" i="40"/>
  <c r="S236" i="41" l="1"/>
  <c r="S237" i="41"/>
  <c r="S239" i="41"/>
  <c r="S243" i="41"/>
  <c r="S238" i="41"/>
  <c r="T43" i="41"/>
  <c r="R204" i="41" s="1"/>
  <c r="R205" i="41" s="1"/>
  <c r="S269" i="41"/>
  <c r="S240" i="41"/>
  <c r="S241" i="41"/>
  <c r="Q269" i="41"/>
  <c r="S257" i="41"/>
  <c r="Q243" i="41"/>
  <c r="Q257" i="41"/>
  <c r="Q242" i="41"/>
  <c r="Q241" i="41"/>
  <c r="Q240" i="41"/>
  <c r="Q239" i="41"/>
  <c r="Q238" i="41"/>
  <c r="Q237" i="41"/>
  <c r="S281" i="40"/>
  <c r="R281" i="40"/>
  <c r="Q281" i="40"/>
  <c r="P281" i="40"/>
  <c r="R269" i="40"/>
  <c r="S267" i="40" s="1"/>
  <c r="P269" i="40"/>
  <c r="Q217" i="40" s="1"/>
  <c r="R257" i="40"/>
  <c r="S254" i="40" s="1"/>
  <c r="P257" i="40"/>
  <c r="Q255" i="40" s="1"/>
  <c r="R243" i="40"/>
  <c r="P243" i="40"/>
  <c r="R242" i="40"/>
  <c r="P242" i="40"/>
  <c r="R241" i="40"/>
  <c r="P241" i="40"/>
  <c r="R240" i="40"/>
  <c r="P240" i="40"/>
  <c r="R239" i="40"/>
  <c r="P239" i="40"/>
  <c r="R238" i="40"/>
  <c r="P238" i="40"/>
  <c r="R237" i="40"/>
  <c r="P237" i="40"/>
  <c r="R236" i="40"/>
  <c r="P236" i="40"/>
  <c r="R222" i="40"/>
  <c r="R202" i="40"/>
  <c r="T182" i="40"/>
  <c r="T168" i="40"/>
  <c r="T167" i="40"/>
  <c r="T149" i="40"/>
  <c r="B136" i="40"/>
  <c r="B197" i="40" s="1"/>
  <c r="B293" i="40" s="1"/>
  <c r="R124" i="40"/>
  <c r="R122" i="40"/>
  <c r="R115" i="40"/>
  <c r="A115" i="40"/>
  <c r="A116" i="40" s="1"/>
  <c r="A117" i="40" s="1"/>
  <c r="A118" i="40" s="1"/>
  <c r="A119" i="40" s="1"/>
  <c r="A120" i="40" s="1"/>
  <c r="A103" i="40"/>
  <c r="A104" i="40" s="1"/>
  <c r="R98" i="40"/>
  <c r="R97" i="40"/>
  <c r="R96" i="40"/>
  <c r="T96" i="40"/>
  <c r="T100" i="40" s="1"/>
  <c r="L87" i="40"/>
  <c r="T82" i="40"/>
  <c r="T81" i="40"/>
  <c r="R71" i="40"/>
  <c r="P71" i="40"/>
  <c r="L71" i="40"/>
  <c r="L84" i="40" s="1"/>
  <c r="J71" i="40"/>
  <c r="J84" i="40" s="1"/>
  <c r="T68" i="40"/>
  <c r="T71" i="40" s="1"/>
  <c r="N71" i="40"/>
  <c r="P58" i="40"/>
  <c r="P57" i="40"/>
  <c r="T50" i="40"/>
  <c r="N43" i="40"/>
  <c r="J43" i="40"/>
  <c r="F43" i="40"/>
  <c r="P36" i="40"/>
  <c r="N36" i="40"/>
  <c r="L36" i="40"/>
  <c r="J36" i="40"/>
  <c r="H36" i="40"/>
  <c r="F36" i="40"/>
  <c r="D36" i="40"/>
  <c r="P35" i="40"/>
  <c r="L35" i="40"/>
  <c r="H35" i="40"/>
  <c r="F35" i="40"/>
  <c r="D35" i="40"/>
  <c r="T34" i="40"/>
  <c r="Q180" i="40" s="1"/>
  <c r="P33" i="40"/>
  <c r="N33" i="40"/>
  <c r="L33" i="40"/>
  <c r="J33" i="40"/>
  <c r="H33" i="40"/>
  <c r="F33" i="40"/>
  <c r="D33" i="40"/>
  <c r="P32" i="40"/>
  <c r="N32" i="40"/>
  <c r="N35" i="40" s="1"/>
  <c r="L32" i="40"/>
  <c r="J32" i="40"/>
  <c r="J35" i="40" s="1"/>
  <c r="H32" i="40"/>
  <c r="F32" i="40"/>
  <c r="D32" i="40"/>
  <c r="R217" i="40" l="1"/>
  <c r="S261" i="40"/>
  <c r="S262" i="40"/>
  <c r="S266" i="40"/>
  <c r="R100" i="40"/>
  <c r="Q260" i="40"/>
  <c r="Q262" i="40"/>
  <c r="S260" i="40"/>
  <c r="S264" i="40"/>
  <c r="S245" i="41"/>
  <c r="Q266" i="40"/>
  <c r="Q261" i="40"/>
  <c r="Q263" i="40"/>
  <c r="Q265" i="40"/>
  <c r="Q267" i="40"/>
  <c r="Q264" i="40"/>
  <c r="R132" i="40"/>
  <c r="R133" i="40" s="1"/>
  <c r="S263" i="40"/>
  <c r="S265" i="40"/>
  <c r="Q245" i="41"/>
  <c r="T35" i="40"/>
  <c r="S255" i="40"/>
  <c r="S249" i="40"/>
  <c r="S251" i="40"/>
  <c r="R245" i="40"/>
  <c r="S237" i="40" s="1"/>
  <c r="S248" i="40"/>
  <c r="S250" i="40"/>
  <c r="S253" i="40"/>
  <c r="S252" i="40"/>
  <c r="R283" i="40"/>
  <c r="P245" i="40"/>
  <c r="Q238" i="40" s="1"/>
  <c r="Q248" i="40"/>
  <c r="Q249" i="40"/>
  <c r="Q250" i="40"/>
  <c r="Q251" i="40"/>
  <c r="Q252" i="40"/>
  <c r="Q253" i="40"/>
  <c r="Q254" i="40"/>
  <c r="P283" i="40"/>
  <c r="T169" i="40"/>
  <c r="T51" i="40"/>
  <c r="T36" i="40"/>
  <c r="R206" i="40"/>
  <c r="T190" i="40"/>
  <c r="T120" i="40"/>
  <c r="T192" i="40"/>
  <c r="T188" i="40"/>
  <c r="T175" i="40"/>
  <c r="T84" i="40"/>
  <c r="T176" i="40" s="1"/>
  <c r="T52" i="40"/>
  <c r="R212" i="40"/>
  <c r="T140" i="40"/>
  <c r="T107" i="39"/>
  <c r="T104" i="39"/>
  <c r="T91" i="39"/>
  <c r="T90" i="39"/>
  <c r="R89" i="39"/>
  <c r="N68" i="39"/>
  <c r="N44" i="39"/>
  <c r="J44" i="39"/>
  <c r="F44" i="39"/>
  <c r="S257" i="40" l="1"/>
  <c r="S269" i="40"/>
  <c r="Q269" i="40"/>
  <c r="T43" i="40"/>
  <c r="R204" i="40" s="1"/>
  <c r="R205" i="40" s="1"/>
  <c r="T132" i="40"/>
  <c r="T133" i="40" s="1"/>
  <c r="Q237" i="40"/>
  <c r="S242" i="40"/>
  <c r="S236" i="40"/>
  <c r="S243" i="40"/>
  <c r="S240" i="40"/>
  <c r="S241" i="40"/>
  <c r="S238" i="40"/>
  <c r="S239" i="40"/>
  <c r="Q236" i="40"/>
  <c r="Q243" i="40"/>
  <c r="Q241" i="40"/>
  <c r="Q239" i="40"/>
  <c r="Q242" i="40"/>
  <c r="Q240" i="40"/>
  <c r="Q257" i="40"/>
  <c r="S281" i="39"/>
  <c r="R281" i="39"/>
  <c r="Q281" i="39"/>
  <c r="P281" i="39"/>
  <c r="R269" i="39"/>
  <c r="P269" i="39"/>
  <c r="Q267" i="39" s="1"/>
  <c r="S267" i="39"/>
  <c r="S266" i="39"/>
  <c r="S265" i="39"/>
  <c r="S264" i="39"/>
  <c r="S263" i="39"/>
  <c r="S262" i="39"/>
  <c r="S261" i="39"/>
  <c r="S260" i="39"/>
  <c r="R257" i="39"/>
  <c r="S254" i="39" s="1"/>
  <c r="P257" i="39"/>
  <c r="Q255" i="39" s="1"/>
  <c r="R243" i="39"/>
  <c r="P243" i="39"/>
  <c r="R242" i="39"/>
  <c r="P242" i="39"/>
  <c r="R241" i="39"/>
  <c r="P241" i="39"/>
  <c r="R240" i="39"/>
  <c r="P240" i="39"/>
  <c r="R239" i="39"/>
  <c r="P239" i="39"/>
  <c r="R238" i="39"/>
  <c r="P238" i="39"/>
  <c r="R237" i="39"/>
  <c r="P237" i="39"/>
  <c r="R236" i="39"/>
  <c r="P236" i="39"/>
  <c r="R222" i="39"/>
  <c r="R217" i="39"/>
  <c r="R202" i="39"/>
  <c r="T182" i="39"/>
  <c r="T170" i="39"/>
  <c r="T168" i="39"/>
  <c r="T167" i="39"/>
  <c r="T149" i="39"/>
  <c r="B136" i="39"/>
  <c r="B197" i="39" s="1"/>
  <c r="B293" i="39" s="1"/>
  <c r="R124" i="39"/>
  <c r="R122" i="39"/>
  <c r="R115" i="39"/>
  <c r="A115" i="39"/>
  <c r="A116" i="39" s="1"/>
  <c r="A117" i="39" s="1"/>
  <c r="A118" i="39" s="1"/>
  <c r="A119" i="39" s="1"/>
  <c r="A120" i="39" s="1"/>
  <c r="A103" i="39"/>
  <c r="A104" i="39" s="1"/>
  <c r="R98" i="39"/>
  <c r="R97" i="39"/>
  <c r="R96" i="39"/>
  <c r="T96" i="39"/>
  <c r="T100" i="39" s="1"/>
  <c r="L87" i="39"/>
  <c r="T82" i="39"/>
  <c r="T81" i="39"/>
  <c r="R71" i="39"/>
  <c r="P71" i="39"/>
  <c r="L71" i="39"/>
  <c r="L84" i="39" s="1"/>
  <c r="J71" i="39"/>
  <c r="J84" i="39" s="1"/>
  <c r="T68" i="39"/>
  <c r="T71" i="39" s="1"/>
  <c r="P58" i="39"/>
  <c r="P57" i="39"/>
  <c r="T50" i="39"/>
  <c r="N43" i="39"/>
  <c r="J43" i="39"/>
  <c r="F43" i="39"/>
  <c r="P36" i="39"/>
  <c r="N36" i="39"/>
  <c r="L36" i="39"/>
  <c r="J36" i="39"/>
  <c r="H36" i="39"/>
  <c r="F36" i="39"/>
  <c r="D36" i="39"/>
  <c r="P35" i="39"/>
  <c r="L35" i="39"/>
  <c r="H35" i="39"/>
  <c r="F35" i="39"/>
  <c r="D35" i="39"/>
  <c r="T34" i="39"/>
  <c r="Q180" i="39" s="1"/>
  <c r="P33" i="39"/>
  <c r="N33" i="39"/>
  <c r="L33" i="39"/>
  <c r="J33" i="39"/>
  <c r="H33" i="39"/>
  <c r="F33" i="39"/>
  <c r="D33" i="39"/>
  <c r="P32" i="39"/>
  <c r="N32" i="39"/>
  <c r="N35" i="39" s="1"/>
  <c r="L32" i="39"/>
  <c r="J32" i="39"/>
  <c r="J35" i="39" s="1"/>
  <c r="H32" i="39"/>
  <c r="F32" i="39"/>
  <c r="D32" i="39"/>
  <c r="Q260" i="39" l="1"/>
  <c r="R100" i="39"/>
  <c r="Q264" i="39"/>
  <c r="Q217" i="39"/>
  <c r="Q262" i="39"/>
  <c r="Q266" i="39"/>
  <c r="S255" i="39"/>
  <c r="S269" i="39"/>
  <c r="Q261" i="39"/>
  <c r="Q263" i="39"/>
  <c r="Q265" i="39"/>
  <c r="S245" i="40"/>
  <c r="Q245" i="40"/>
  <c r="R132" i="39"/>
  <c r="R133" i="39" s="1"/>
  <c r="T169" i="39"/>
  <c r="T36" i="39"/>
  <c r="T51" i="39"/>
  <c r="T35" i="39"/>
  <c r="T43" i="39" s="1"/>
  <c r="R204" i="39" s="1"/>
  <c r="R205" i="39" s="1"/>
  <c r="S251" i="39"/>
  <c r="R245" i="39"/>
  <c r="S237" i="39" s="1"/>
  <c r="S249" i="39"/>
  <c r="S253" i="39"/>
  <c r="S248" i="39"/>
  <c r="S250" i="39"/>
  <c r="S252" i="39"/>
  <c r="R283" i="39"/>
  <c r="P245" i="39"/>
  <c r="Q237" i="39" s="1"/>
  <c r="Q248" i="39"/>
  <c r="Q249" i="39"/>
  <c r="Q250" i="39"/>
  <c r="Q251" i="39"/>
  <c r="Q252" i="39"/>
  <c r="Q253" i="39"/>
  <c r="Q254" i="39"/>
  <c r="P283" i="39"/>
  <c r="T175" i="39"/>
  <c r="T84" i="39"/>
  <c r="T176" i="39" s="1"/>
  <c r="R206" i="39"/>
  <c r="T190" i="39"/>
  <c r="T192" i="39"/>
  <c r="T188" i="39"/>
  <c r="T120" i="39"/>
  <c r="T132" i="39" s="1"/>
  <c r="T133" i="39" s="1"/>
  <c r="T52" i="39"/>
  <c r="N71" i="39"/>
  <c r="T140" i="39"/>
  <c r="R212" i="39"/>
  <c r="T107" i="38"/>
  <c r="T104" i="38"/>
  <c r="T91" i="38"/>
  <c r="T90" i="38"/>
  <c r="Q182" i="38"/>
  <c r="R89" i="38"/>
  <c r="N68" i="38"/>
  <c r="P68" i="38"/>
  <c r="N44" i="38"/>
  <c r="J44" i="38"/>
  <c r="F44" i="38"/>
  <c r="S240" i="39" l="1"/>
  <c r="S239" i="39"/>
  <c r="S243" i="39"/>
  <c r="Q236" i="39"/>
  <c r="Q269" i="39"/>
  <c r="S236" i="39"/>
  <c r="S242" i="39"/>
  <c r="S238" i="39"/>
  <c r="S241" i="39"/>
  <c r="Q240" i="39"/>
  <c r="Q242" i="39"/>
  <c r="Q238" i="39"/>
  <c r="Q243" i="39"/>
  <c r="Q241" i="39"/>
  <c r="Q239" i="39"/>
  <c r="S257" i="39"/>
  <c r="Q257" i="39"/>
  <c r="T170" i="38"/>
  <c r="S245" i="39" l="1"/>
  <c r="Q245" i="39"/>
  <c r="S281" i="38"/>
  <c r="R281" i="38"/>
  <c r="Q281" i="38"/>
  <c r="P281" i="38"/>
  <c r="R269" i="38"/>
  <c r="S267" i="38" s="1"/>
  <c r="P269" i="38"/>
  <c r="Q267" i="38" s="1"/>
  <c r="R257" i="38"/>
  <c r="S254" i="38" s="1"/>
  <c r="P257" i="38"/>
  <c r="Q255" i="38" s="1"/>
  <c r="R243" i="38"/>
  <c r="P243" i="38"/>
  <c r="R242" i="38"/>
  <c r="P242" i="38"/>
  <c r="R241" i="38"/>
  <c r="P241" i="38"/>
  <c r="R240" i="38"/>
  <c r="P240" i="38"/>
  <c r="R239" i="38"/>
  <c r="P239" i="38"/>
  <c r="R238" i="38"/>
  <c r="P238" i="38"/>
  <c r="R237" i="38"/>
  <c r="P237" i="38"/>
  <c r="R236" i="38"/>
  <c r="P236" i="38"/>
  <c r="R222" i="38"/>
  <c r="R202" i="38"/>
  <c r="T182" i="38"/>
  <c r="T168" i="38"/>
  <c r="T167" i="38"/>
  <c r="T149" i="38"/>
  <c r="B136" i="38"/>
  <c r="B197" i="38" s="1"/>
  <c r="B293" i="38" s="1"/>
  <c r="R124" i="38"/>
  <c r="R122" i="38"/>
  <c r="R115" i="38"/>
  <c r="A115" i="38"/>
  <c r="A116" i="38" s="1"/>
  <c r="A117" i="38" s="1"/>
  <c r="A118" i="38" s="1"/>
  <c r="A119" i="38" s="1"/>
  <c r="A120" i="38" s="1"/>
  <c r="A103" i="38"/>
  <c r="A104" i="38" s="1"/>
  <c r="R98" i="38"/>
  <c r="R97" i="38"/>
  <c r="R96" i="38"/>
  <c r="T96" i="38"/>
  <c r="T100" i="38" s="1"/>
  <c r="L87" i="38"/>
  <c r="T82" i="38"/>
  <c r="T81" i="38"/>
  <c r="R71" i="38"/>
  <c r="P71" i="38"/>
  <c r="L71" i="38"/>
  <c r="L84" i="38" s="1"/>
  <c r="J71" i="38"/>
  <c r="J84" i="38" s="1"/>
  <c r="N71" i="38"/>
  <c r="P58" i="38"/>
  <c r="P57" i="38"/>
  <c r="T50" i="38"/>
  <c r="N43" i="38"/>
  <c r="J43" i="38"/>
  <c r="F43" i="38"/>
  <c r="P36" i="38"/>
  <c r="N36" i="38"/>
  <c r="L36" i="38"/>
  <c r="J36" i="38"/>
  <c r="H36" i="38"/>
  <c r="F36" i="38"/>
  <c r="D36" i="38"/>
  <c r="P35" i="38"/>
  <c r="L35" i="38"/>
  <c r="H35" i="38"/>
  <c r="F35" i="38"/>
  <c r="D35" i="38"/>
  <c r="T34" i="38"/>
  <c r="T140" i="38" s="1"/>
  <c r="P33" i="38"/>
  <c r="N33" i="38"/>
  <c r="L33" i="38"/>
  <c r="J33" i="38"/>
  <c r="H33" i="38"/>
  <c r="F33" i="38"/>
  <c r="D33" i="38"/>
  <c r="P32" i="38"/>
  <c r="N32" i="38"/>
  <c r="N35" i="38" s="1"/>
  <c r="L32" i="38"/>
  <c r="J32" i="38"/>
  <c r="J35" i="38" s="1"/>
  <c r="H32" i="38"/>
  <c r="F32" i="38"/>
  <c r="D32" i="38"/>
  <c r="R245" i="38" l="1"/>
  <c r="S260" i="38"/>
  <c r="S262" i="38"/>
  <c r="S264" i="38"/>
  <c r="Q217" i="38"/>
  <c r="Q262" i="38"/>
  <c r="Q260" i="38"/>
  <c r="Q265" i="38"/>
  <c r="R100" i="38"/>
  <c r="S255" i="38"/>
  <c r="Q263" i="38"/>
  <c r="Q266" i="38"/>
  <c r="Q261" i="38"/>
  <c r="Q264" i="38"/>
  <c r="S266" i="38"/>
  <c r="T51" i="38"/>
  <c r="R217" i="38"/>
  <c r="S261" i="38"/>
  <c r="S263" i="38"/>
  <c r="S265" i="38"/>
  <c r="T35" i="38"/>
  <c r="T43" i="38" s="1"/>
  <c r="R204" i="38" s="1"/>
  <c r="R205" i="38" s="1"/>
  <c r="R132" i="38"/>
  <c r="T169" i="38"/>
  <c r="T36" i="38"/>
  <c r="S249" i="38"/>
  <c r="S251" i="38"/>
  <c r="S248" i="38"/>
  <c r="S250" i="38"/>
  <c r="S253" i="38"/>
  <c r="S252" i="38"/>
  <c r="R283" i="38"/>
  <c r="P245" i="38"/>
  <c r="Q237" i="38" s="1"/>
  <c r="Q248" i="38"/>
  <c r="Q249" i="38"/>
  <c r="Q250" i="38"/>
  <c r="Q251" i="38"/>
  <c r="Q252" i="38"/>
  <c r="Q253" i="38"/>
  <c r="Q254" i="38"/>
  <c r="P283" i="38"/>
  <c r="R206" i="38"/>
  <c r="T190" i="38"/>
  <c r="T120" i="38"/>
  <c r="T132" i="38" s="1"/>
  <c r="T133" i="38" s="1"/>
  <c r="T192" i="38"/>
  <c r="T188" i="38"/>
  <c r="S237" i="38"/>
  <c r="S238" i="38"/>
  <c r="S239" i="38"/>
  <c r="S240" i="38"/>
  <c r="S241" i="38"/>
  <c r="S242" i="38"/>
  <c r="S243" i="38"/>
  <c r="T68" i="38"/>
  <c r="T71" i="38" s="1"/>
  <c r="Q180" i="38"/>
  <c r="R212" i="38"/>
  <c r="S236" i="38"/>
  <c r="T52" i="38"/>
  <c r="Q269" i="38" l="1"/>
  <c r="R133" i="38"/>
  <c r="S269" i="38"/>
  <c r="Q236" i="38"/>
  <c r="Q240" i="38"/>
  <c r="Q242" i="38"/>
  <c r="Q238" i="38"/>
  <c r="S257" i="38"/>
  <c r="S245" i="38"/>
  <c r="Q243" i="38"/>
  <c r="Q241" i="38"/>
  <c r="Q239" i="38"/>
  <c r="Q257" i="38"/>
  <c r="T84" i="38"/>
  <c r="T176" i="38" s="1"/>
  <c r="T175" i="38"/>
  <c r="T107" i="37"/>
  <c r="T104" i="37"/>
  <c r="T91" i="37"/>
  <c r="T90" i="37"/>
  <c r="Q182" i="37"/>
  <c r="R89" i="37"/>
  <c r="P68" i="37"/>
  <c r="N68" i="37"/>
  <c r="N44" i="37"/>
  <c r="J44" i="37"/>
  <c r="F44" i="37"/>
  <c r="Q245" i="38" l="1"/>
  <c r="S281" i="37"/>
  <c r="R281" i="37"/>
  <c r="Q281" i="37"/>
  <c r="P281" i="37"/>
  <c r="R269" i="37"/>
  <c r="S267" i="37" s="1"/>
  <c r="P269" i="37"/>
  <c r="Q264" i="37" s="1"/>
  <c r="Q267" i="37"/>
  <c r="S260" i="37"/>
  <c r="R257" i="37"/>
  <c r="S254" i="37" s="1"/>
  <c r="P257" i="37"/>
  <c r="Q255" i="37" s="1"/>
  <c r="R243" i="37"/>
  <c r="P243" i="37"/>
  <c r="R242" i="37"/>
  <c r="P242" i="37"/>
  <c r="R241" i="37"/>
  <c r="P241" i="37"/>
  <c r="R240" i="37"/>
  <c r="P240" i="37"/>
  <c r="R239" i="37"/>
  <c r="P239" i="37"/>
  <c r="R238" i="37"/>
  <c r="P238" i="37"/>
  <c r="R237" i="37"/>
  <c r="P237" i="37"/>
  <c r="R236" i="37"/>
  <c r="P236" i="37"/>
  <c r="R222" i="37"/>
  <c r="R217" i="37"/>
  <c r="R202" i="37"/>
  <c r="T182" i="37"/>
  <c r="T168" i="37"/>
  <c r="T167" i="37"/>
  <c r="T149" i="37"/>
  <c r="B136" i="37"/>
  <c r="B197" i="37" s="1"/>
  <c r="B293" i="37" s="1"/>
  <c r="R124" i="37"/>
  <c r="R122" i="37"/>
  <c r="R115" i="37"/>
  <c r="A115" i="37"/>
  <c r="A116" i="37" s="1"/>
  <c r="A117" i="37" s="1"/>
  <c r="A118" i="37" s="1"/>
  <c r="A119" i="37" s="1"/>
  <c r="A120" i="37" s="1"/>
  <c r="A103" i="37"/>
  <c r="A104" i="37" s="1"/>
  <c r="R98" i="37"/>
  <c r="R97" i="37"/>
  <c r="R96" i="37"/>
  <c r="T96" i="37"/>
  <c r="T100" i="37" s="1"/>
  <c r="L87" i="37"/>
  <c r="T82" i="37"/>
  <c r="T81" i="37"/>
  <c r="R71" i="37"/>
  <c r="P71" i="37"/>
  <c r="L71" i="37"/>
  <c r="L84" i="37" s="1"/>
  <c r="J71" i="37"/>
  <c r="J84" i="37" s="1"/>
  <c r="T68" i="37"/>
  <c r="T71" i="37" s="1"/>
  <c r="N71" i="37"/>
  <c r="P58" i="37"/>
  <c r="P57" i="37"/>
  <c r="T50" i="37"/>
  <c r="N43" i="37"/>
  <c r="J43" i="37"/>
  <c r="F43" i="37"/>
  <c r="P36" i="37"/>
  <c r="N36" i="37"/>
  <c r="L36" i="37"/>
  <c r="J36" i="37"/>
  <c r="H36" i="37"/>
  <c r="F36" i="37"/>
  <c r="D36" i="37"/>
  <c r="P35" i="37"/>
  <c r="L35" i="37"/>
  <c r="H35" i="37"/>
  <c r="F35" i="37"/>
  <c r="D35" i="37"/>
  <c r="T34" i="37"/>
  <c r="Q180" i="37" s="1"/>
  <c r="P33" i="37"/>
  <c r="N33" i="37"/>
  <c r="L33" i="37"/>
  <c r="J33" i="37"/>
  <c r="H33" i="37"/>
  <c r="F33" i="37"/>
  <c r="D33" i="37"/>
  <c r="P32" i="37"/>
  <c r="N32" i="37"/>
  <c r="N35" i="37" s="1"/>
  <c r="L32" i="37"/>
  <c r="J32" i="37"/>
  <c r="J35" i="37" s="1"/>
  <c r="H32" i="37"/>
  <c r="F32" i="37"/>
  <c r="D32" i="37"/>
  <c r="Q248" i="37" l="1"/>
  <c r="S262" i="37"/>
  <c r="Q217" i="37"/>
  <c r="S264" i="37"/>
  <c r="Q263" i="37"/>
  <c r="Q260" i="37"/>
  <c r="Q262" i="37"/>
  <c r="Q265" i="37"/>
  <c r="R100" i="37"/>
  <c r="R132" i="37"/>
  <c r="S255" i="37"/>
  <c r="Q266" i="37"/>
  <c r="Q261" i="37"/>
  <c r="S266" i="37"/>
  <c r="S261" i="37"/>
  <c r="S263" i="37"/>
  <c r="S265" i="37"/>
  <c r="T35" i="37"/>
  <c r="T43" i="37" s="1"/>
  <c r="R204" i="37" s="1"/>
  <c r="R205" i="37" s="1"/>
  <c r="R245" i="37"/>
  <c r="S237" i="37" s="1"/>
  <c r="Q249" i="37"/>
  <c r="T169" i="37"/>
  <c r="T51" i="37"/>
  <c r="T36" i="37"/>
  <c r="S251" i="37"/>
  <c r="S248" i="37"/>
  <c r="S249" i="37"/>
  <c r="S253" i="37"/>
  <c r="S250" i="37"/>
  <c r="S252" i="37"/>
  <c r="R283" i="37"/>
  <c r="P245" i="37"/>
  <c r="Q237" i="37" s="1"/>
  <c r="Q250" i="37"/>
  <c r="Q251" i="37"/>
  <c r="Q252" i="37"/>
  <c r="Q253" i="37"/>
  <c r="Q254" i="37"/>
  <c r="P283" i="37"/>
  <c r="R206" i="37"/>
  <c r="T190" i="37"/>
  <c r="T120" i="37"/>
  <c r="T132" i="37" s="1"/>
  <c r="T133" i="37" s="1"/>
  <c r="T192" i="37"/>
  <c r="T188" i="37"/>
  <c r="T175" i="37"/>
  <c r="T84" i="37"/>
  <c r="T176" i="37" s="1"/>
  <c r="S239" i="37"/>
  <c r="S240" i="37"/>
  <c r="S242" i="37"/>
  <c r="S243" i="37"/>
  <c r="T52" i="37"/>
  <c r="R212" i="37"/>
  <c r="S236" i="37"/>
  <c r="T140" i="37"/>
  <c r="T107" i="36"/>
  <c r="T104" i="36"/>
  <c r="T91" i="36"/>
  <c r="T90" i="36"/>
  <c r="R89" i="36"/>
  <c r="N68" i="36"/>
  <c r="N44" i="36"/>
  <c r="J44" i="36"/>
  <c r="F44" i="36"/>
  <c r="R133" i="37" l="1"/>
  <c r="S238" i="37"/>
  <c r="S241" i="37"/>
  <c r="Q269" i="37"/>
  <c r="S269" i="37"/>
  <c r="Q236" i="37"/>
  <c r="Q240" i="37"/>
  <c r="Q242" i="37"/>
  <c r="Q238" i="37"/>
  <c r="Q243" i="37"/>
  <c r="Q241" i="37"/>
  <c r="Q239" i="37"/>
  <c r="S245" i="37"/>
  <c r="S257" i="37"/>
  <c r="Q257" i="37"/>
  <c r="T170" i="36"/>
  <c r="Q245" i="37" l="1"/>
  <c r="S281" i="36"/>
  <c r="R281" i="36"/>
  <c r="Q281" i="36"/>
  <c r="P281" i="36"/>
  <c r="R269" i="36"/>
  <c r="R217" i="36" s="1"/>
  <c r="P269" i="36"/>
  <c r="Q217" i="36" s="1"/>
  <c r="Q267" i="36"/>
  <c r="R257" i="36"/>
  <c r="S254" i="36" s="1"/>
  <c r="P257" i="36"/>
  <c r="Q255" i="36" s="1"/>
  <c r="R243" i="36"/>
  <c r="P243" i="36"/>
  <c r="R242" i="36"/>
  <c r="P242" i="36"/>
  <c r="R241" i="36"/>
  <c r="P241" i="36"/>
  <c r="R240" i="36"/>
  <c r="P240" i="36"/>
  <c r="R239" i="36"/>
  <c r="P239" i="36"/>
  <c r="R238" i="36"/>
  <c r="P238" i="36"/>
  <c r="R237" i="36"/>
  <c r="P237" i="36"/>
  <c r="R236" i="36"/>
  <c r="P236" i="36"/>
  <c r="R222" i="36"/>
  <c r="R202" i="36"/>
  <c r="T182" i="36"/>
  <c r="T168" i="36"/>
  <c r="T167" i="36"/>
  <c r="T149" i="36"/>
  <c r="B136" i="36"/>
  <c r="B197" i="36" s="1"/>
  <c r="B293" i="36" s="1"/>
  <c r="R124" i="36"/>
  <c r="R122" i="36"/>
  <c r="R115" i="36"/>
  <c r="A115" i="36"/>
  <c r="A116" i="36" s="1"/>
  <c r="A117" i="36" s="1"/>
  <c r="A118" i="36" s="1"/>
  <c r="A119" i="36" s="1"/>
  <c r="A120" i="36" s="1"/>
  <c r="A103" i="36"/>
  <c r="A104" i="36" s="1"/>
  <c r="R98" i="36"/>
  <c r="R97" i="36"/>
  <c r="R96" i="36"/>
  <c r="T96" i="36"/>
  <c r="T100" i="36" s="1"/>
  <c r="L87" i="36"/>
  <c r="T82" i="36"/>
  <c r="T81" i="36"/>
  <c r="R71" i="36"/>
  <c r="P71" i="36"/>
  <c r="L71" i="36"/>
  <c r="L84" i="36" s="1"/>
  <c r="J71" i="36"/>
  <c r="J84" i="36" s="1"/>
  <c r="T68" i="36"/>
  <c r="T71" i="36" s="1"/>
  <c r="P58" i="36"/>
  <c r="P57" i="36"/>
  <c r="T50" i="36"/>
  <c r="N43" i="36"/>
  <c r="J43" i="36"/>
  <c r="F43" i="36"/>
  <c r="P36" i="36"/>
  <c r="N36" i="36"/>
  <c r="L36" i="36"/>
  <c r="J36" i="36"/>
  <c r="H36" i="36"/>
  <c r="F36" i="36"/>
  <c r="D36" i="36"/>
  <c r="P35" i="36"/>
  <c r="L35" i="36"/>
  <c r="H35" i="36"/>
  <c r="F35" i="36"/>
  <c r="D35" i="36"/>
  <c r="T34" i="36"/>
  <c r="Q180" i="36" s="1"/>
  <c r="P33" i="36"/>
  <c r="N33" i="36"/>
  <c r="L33" i="36"/>
  <c r="J33" i="36"/>
  <c r="H33" i="36"/>
  <c r="F33" i="36"/>
  <c r="D33" i="36"/>
  <c r="P32" i="36"/>
  <c r="N32" i="36"/>
  <c r="N35" i="36" s="1"/>
  <c r="L32" i="36"/>
  <c r="J32" i="36"/>
  <c r="J35" i="36" s="1"/>
  <c r="H32" i="36"/>
  <c r="F32" i="36"/>
  <c r="D32" i="36"/>
  <c r="Q261" i="36" l="1"/>
  <c r="Q263" i="36"/>
  <c r="Q264" i="36"/>
  <c r="R100" i="36"/>
  <c r="Q260" i="36"/>
  <c r="Q265" i="36"/>
  <c r="Q262" i="36"/>
  <c r="Q266" i="36"/>
  <c r="T35" i="36"/>
  <c r="T43" i="36" s="1"/>
  <c r="R204" i="36" s="1"/>
  <c r="R205" i="36" s="1"/>
  <c r="S249" i="36"/>
  <c r="R132" i="36"/>
  <c r="T169" i="36"/>
  <c r="S255" i="36"/>
  <c r="T36" i="36"/>
  <c r="T51" i="36"/>
  <c r="S260" i="36"/>
  <c r="S261" i="36"/>
  <c r="S262" i="36"/>
  <c r="S263" i="36"/>
  <c r="S264" i="36"/>
  <c r="S265" i="36"/>
  <c r="S266" i="36"/>
  <c r="S267" i="36"/>
  <c r="P245" i="36"/>
  <c r="S251" i="36"/>
  <c r="R245" i="36"/>
  <c r="S248" i="36"/>
  <c r="S250" i="36"/>
  <c r="S253" i="36"/>
  <c r="S252" i="36"/>
  <c r="R283" i="36"/>
  <c r="Q248" i="36"/>
  <c r="Q249" i="36"/>
  <c r="Q250" i="36"/>
  <c r="Q251" i="36"/>
  <c r="Q252" i="36"/>
  <c r="Q253" i="36"/>
  <c r="Q254" i="36"/>
  <c r="P283" i="36"/>
  <c r="T175" i="36"/>
  <c r="T84" i="36"/>
  <c r="T176" i="36" s="1"/>
  <c r="R206" i="36"/>
  <c r="T190" i="36"/>
  <c r="T192" i="36"/>
  <c r="T188" i="36"/>
  <c r="T120" i="36"/>
  <c r="T132" i="36" s="1"/>
  <c r="T133" i="36" s="1"/>
  <c r="T52" i="36"/>
  <c r="N71" i="36"/>
  <c r="T140" i="36"/>
  <c r="R212" i="36"/>
  <c r="T107" i="35"/>
  <c r="T104" i="35"/>
  <c r="T91" i="35"/>
  <c r="T90" i="35"/>
  <c r="R89" i="35"/>
  <c r="R96" i="35" s="1"/>
  <c r="P68" i="35"/>
  <c r="P71" i="35" s="1"/>
  <c r="N68" i="35"/>
  <c r="R212" i="35" s="1"/>
  <c r="N44" i="35"/>
  <c r="J44" i="35"/>
  <c r="F44" i="35"/>
  <c r="S281" i="35"/>
  <c r="R281" i="35"/>
  <c r="Q281" i="35"/>
  <c r="P281" i="35"/>
  <c r="R269" i="35"/>
  <c r="S267" i="35" s="1"/>
  <c r="P269" i="35"/>
  <c r="Q267" i="35" s="1"/>
  <c r="R257" i="35"/>
  <c r="P257" i="35"/>
  <c r="R243" i="35"/>
  <c r="P243" i="35"/>
  <c r="R242" i="35"/>
  <c r="P242" i="35"/>
  <c r="R241" i="35"/>
  <c r="P241" i="35"/>
  <c r="R240" i="35"/>
  <c r="P240" i="35"/>
  <c r="R239" i="35"/>
  <c r="P239" i="35"/>
  <c r="R238" i="35"/>
  <c r="P238" i="35"/>
  <c r="R237" i="35"/>
  <c r="P237" i="35"/>
  <c r="R236" i="35"/>
  <c r="R245" i="35" s="1"/>
  <c r="S238" i="35" s="1"/>
  <c r="P236" i="35"/>
  <c r="R222" i="35"/>
  <c r="Q217" i="35"/>
  <c r="R202" i="35"/>
  <c r="T182" i="35"/>
  <c r="T168" i="35"/>
  <c r="T167" i="35"/>
  <c r="T149" i="35"/>
  <c r="B136" i="35"/>
  <c r="B197" i="35" s="1"/>
  <c r="B293" i="35" s="1"/>
  <c r="R124" i="35"/>
  <c r="R122" i="35"/>
  <c r="R115" i="35"/>
  <c r="A115" i="35"/>
  <c r="A116" i="35" s="1"/>
  <c r="A117" i="35" s="1"/>
  <c r="A118" i="35" s="1"/>
  <c r="A119" i="35" s="1"/>
  <c r="A120" i="35" s="1"/>
  <c r="A103" i="35"/>
  <c r="A104" i="35" s="1"/>
  <c r="R98" i="35"/>
  <c r="R97" i="35"/>
  <c r="L87" i="35"/>
  <c r="T82" i="35"/>
  <c r="T81" i="35"/>
  <c r="R71" i="35"/>
  <c r="L71" i="35"/>
  <c r="L84" i="35" s="1"/>
  <c r="J71" i="35"/>
  <c r="J84" i="35" s="1"/>
  <c r="P58" i="35"/>
  <c r="P57" i="35"/>
  <c r="T50" i="35"/>
  <c r="N43" i="35"/>
  <c r="J43" i="35"/>
  <c r="F43" i="35"/>
  <c r="P36" i="35"/>
  <c r="N36" i="35"/>
  <c r="L36" i="35"/>
  <c r="J36" i="35"/>
  <c r="H36" i="35"/>
  <c r="F36" i="35"/>
  <c r="D36" i="35"/>
  <c r="P35" i="35"/>
  <c r="L35" i="35"/>
  <c r="H35" i="35"/>
  <c r="F35" i="35"/>
  <c r="D35" i="35"/>
  <c r="T34" i="35"/>
  <c r="P33" i="35"/>
  <c r="N33" i="35"/>
  <c r="L33" i="35"/>
  <c r="J33" i="35"/>
  <c r="H33" i="35"/>
  <c r="F33" i="35"/>
  <c r="D33" i="35"/>
  <c r="P32" i="35"/>
  <c r="N32" i="35"/>
  <c r="N35" i="35" s="1"/>
  <c r="L32" i="35"/>
  <c r="J32" i="35"/>
  <c r="J35" i="35" s="1"/>
  <c r="H32" i="35"/>
  <c r="F32" i="35"/>
  <c r="D32" i="35"/>
  <c r="T107" i="34"/>
  <c r="T108" i="34"/>
  <c r="T104" i="34"/>
  <c r="T91" i="34"/>
  <c r="T90" i="34"/>
  <c r="R89" i="34"/>
  <c r="R96" i="34" s="1"/>
  <c r="N68" i="34"/>
  <c r="N44" i="34"/>
  <c r="J44" i="34"/>
  <c r="F44" i="34"/>
  <c r="S281" i="34"/>
  <c r="R281" i="34"/>
  <c r="Q281" i="34"/>
  <c r="P281" i="34"/>
  <c r="R269" i="34"/>
  <c r="S267" i="34" s="1"/>
  <c r="P269" i="34"/>
  <c r="R257" i="34"/>
  <c r="S255" i="34" s="1"/>
  <c r="P257" i="34"/>
  <c r="Q253" i="34" s="1"/>
  <c r="R243" i="34"/>
  <c r="P243" i="34"/>
  <c r="R242" i="34"/>
  <c r="P242" i="34"/>
  <c r="R241" i="34"/>
  <c r="P241" i="34"/>
  <c r="R240" i="34"/>
  <c r="P240" i="34"/>
  <c r="R239" i="34"/>
  <c r="P239" i="34"/>
  <c r="R238" i="34"/>
  <c r="P238" i="34"/>
  <c r="R237" i="34"/>
  <c r="P237" i="34"/>
  <c r="R236" i="34"/>
  <c r="P236" i="34"/>
  <c r="R222" i="34"/>
  <c r="R202" i="34"/>
  <c r="T182" i="34"/>
  <c r="T170" i="34"/>
  <c r="T168" i="34"/>
  <c r="T167" i="34"/>
  <c r="T149" i="34"/>
  <c r="B136" i="34"/>
  <c r="B197" i="34" s="1"/>
  <c r="B293" i="34" s="1"/>
  <c r="R124" i="34"/>
  <c r="R122" i="34"/>
  <c r="R115" i="34"/>
  <c r="A115" i="34"/>
  <c r="A116" i="34" s="1"/>
  <c r="A117" i="34" s="1"/>
  <c r="A118" i="34" s="1"/>
  <c r="A119" i="34" s="1"/>
  <c r="A120" i="34" s="1"/>
  <c r="A103" i="34"/>
  <c r="A104" i="34" s="1"/>
  <c r="R98" i="34"/>
  <c r="R97" i="34"/>
  <c r="L87" i="34"/>
  <c r="T82" i="34"/>
  <c r="T81" i="34"/>
  <c r="R71" i="34"/>
  <c r="L71" i="34"/>
  <c r="L84" i="34" s="1"/>
  <c r="J71" i="34"/>
  <c r="J84" i="34" s="1"/>
  <c r="P71" i="34"/>
  <c r="P58" i="34"/>
  <c r="P57" i="34"/>
  <c r="T50" i="34"/>
  <c r="N43" i="34"/>
  <c r="J43" i="34"/>
  <c r="F43" i="34"/>
  <c r="P36" i="34"/>
  <c r="N36" i="34"/>
  <c r="L36" i="34"/>
  <c r="J36" i="34"/>
  <c r="H36" i="34"/>
  <c r="F36" i="34"/>
  <c r="D36" i="34"/>
  <c r="P35" i="34"/>
  <c r="L35" i="34"/>
  <c r="H35" i="34"/>
  <c r="F35" i="34"/>
  <c r="D35" i="34"/>
  <c r="T34" i="34"/>
  <c r="Q180" i="34" s="1"/>
  <c r="P33" i="34"/>
  <c r="N33" i="34"/>
  <c r="L33" i="34"/>
  <c r="J33" i="34"/>
  <c r="H33" i="34"/>
  <c r="F33" i="34"/>
  <c r="D33" i="34"/>
  <c r="P32" i="34"/>
  <c r="N32" i="34"/>
  <c r="N35" i="34" s="1"/>
  <c r="L32" i="34"/>
  <c r="J32" i="34"/>
  <c r="J35" i="34" s="1"/>
  <c r="H32" i="34"/>
  <c r="F32" i="34"/>
  <c r="D32" i="34"/>
  <c r="T170" i="33"/>
  <c r="T107" i="33"/>
  <c r="T104" i="33"/>
  <c r="T91" i="33"/>
  <c r="T90" i="33"/>
  <c r="R89" i="33"/>
  <c r="R96" i="33" s="1"/>
  <c r="P68" i="33"/>
  <c r="P71" i="33" s="1"/>
  <c r="N68" i="33"/>
  <c r="R212" i="33" s="1"/>
  <c r="N44" i="33"/>
  <c r="J44" i="33"/>
  <c r="F44" i="33"/>
  <c r="S281" i="33"/>
  <c r="R281" i="33"/>
  <c r="Q281" i="33"/>
  <c r="P281" i="33"/>
  <c r="R269" i="33"/>
  <c r="P269" i="33"/>
  <c r="Q267" i="33" s="1"/>
  <c r="R257" i="33"/>
  <c r="S251" i="33" s="1"/>
  <c r="P257" i="33"/>
  <c r="R243" i="33"/>
  <c r="P243" i="33"/>
  <c r="R242" i="33"/>
  <c r="P242" i="33"/>
  <c r="R241" i="33"/>
  <c r="P241" i="33"/>
  <c r="R240" i="33"/>
  <c r="P240" i="33"/>
  <c r="R239" i="33"/>
  <c r="P239" i="33"/>
  <c r="R238" i="33"/>
  <c r="P238" i="33"/>
  <c r="R237" i="33"/>
  <c r="P237" i="33"/>
  <c r="R236" i="33"/>
  <c r="P236" i="33"/>
  <c r="R222" i="33"/>
  <c r="Q217" i="33"/>
  <c r="R202" i="33"/>
  <c r="T182" i="33"/>
  <c r="T168" i="33"/>
  <c r="T167" i="33"/>
  <c r="T149" i="33"/>
  <c r="B136" i="33"/>
  <c r="B197" i="33" s="1"/>
  <c r="B293" i="33" s="1"/>
  <c r="R124" i="33"/>
  <c r="R122" i="33"/>
  <c r="R115" i="33"/>
  <c r="A115" i="33"/>
  <c r="A116" i="33" s="1"/>
  <c r="A117" i="33" s="1"/>
  <c r="A118" i="33" s="1"/>
  <c r="A119" i="33" s="1"/>
  <c r="A120" i="33" s="1"/>
  <c r="A103" i="33"/>
  <c r="A104" i="33" s="1"/>
  <c r="R98" i="33"/>
  <c r="R97" i="33"/>
  <c r="L87" i="33"/>
  <c r="T82" i="33"/>
  <c r="T81" i="33"/>
  <c r="R71" i="33"/>
  <c r="L71" i="33"/>
  <c r="L84" i="33" s="1"/>
  <c r="J71" i="33"/>
  <c r="J84" i="33" s="1"/>
  <c r="P58" i="33"/>
  <c r="P57" i="33"/>
  <c r="T50" i="33"/>
  <c r="N43" i="33"/>
  <c r="J43" i="33"/>
  <c r="F43" i="33"/>
  <c r="P36" i="33"/>
  <c r="N36" i="33"/>
  <c r="L36" i="33"/>
  <c r="J36" i="33"/>
  <c r="H36" i="33"/>
  <c r="F36" i="33"/>
  <c r="D36" i="33"/>
  <c r="P35" i="33"/>
  <c r="L35" i="33"/>
  <c r="H35" i="33"/>
  <c r="F35" i="33"/>
  <c r="D35" i="33"/>
  <c r="T34" i="33"/>
  <c r="Q180" i="33" s="1"/>
  <c r="P33" i="33"/>
  <c r="N33" i="33"/>
  <c r="L33" i="33"/>
  <c r="J33" i="33"/>
  <c r="H33" i="33"/>
  <c r="F33" i="33"/>
  <c r="D33" i="33"/>
  <c r="P32" i="33"/>
  <c r="N32" i="33"/>
  <c r="N35" i="33" s="1"/>
  <c r="L32" i="33"/>
  <c r="J32" i="33"/>
  <c r="J35" i="33" s="1"/>
  <c r="H32" i="33"/>
  <c r="F32" i="33"/>
  <c r="D32" i="33"/>
  <c r="N68" i="32"/>
  <c r="T50" i="32"/>
  <c r="T107" i="32"/>
  <c r="T104" i="32"/>
  <c r="T91" i="32"/>
  <c r="T90" i="32"/>
  <c r="R89" i="32"/>
  <c r="N44" i="32"/>
  <c r="J44" i="32"/>
  <c r="F44" i="32"/>
  <c r="B136" i="32"/>
  <c r="B197" i="32" s="1"/>
  <c r="B293" i="32" s="1"/>
  <c r="R281" i="32"/>
  <c r="R269" i="32"/>
  <c r="R257" i="32"/>
  <c r="S249" i="32" s="1"/>
  <c r="P281" i="32"/>
  <c r="P269" i="32"/>
  <c r="Q260" i="32" s="1"/>
  <c r="P257" i="32"/>
  <c r="Q252" i="32" s="1"/>
  <c r="S281" i="32"/>
  <c r="Q281" i="32"/>
  <c r="R236" i="32"/>
  <c r="R237" i="32"/>
  <c r="R238" i="32"/>
  <c r="R239" i="32"/>
  <c r="R240" i="32"/>
  <c r="R241" i="32"/>
  <c r="R242" i="32"/>
  <c r="R243" i="32"/>
  <c r="P236" i="32"/>
  <c r="P237" i="32"/>
  <c r="P238" i="32"/>
  <c r="P239" i="32"/>
  <c r="P240" i="32"/>
  <c r="P241" i="32"/>
  <c r="P242" i="32"/>
  <c r="P243" i="32"/>
  <c r="R222" i="32"/>
  <c r="R217" i="32"/>
  <c r="Q217" i="32"/>
  <c r="F43" i="32"/>
  <c r="J43" i="32"/>
  <c r="N43" i="32"/>
  <c r="D35" i="32"/>
  <c r="F35" i="32"/>
  <c r="H35" i="32"/>
  <c r="J32" i="32"/>
  <c r="J35" i="32" s="1"/>
  <c r="L35" i="32"/>
  <c r="N32" i="32"/>
  <c r="N35" i="32" s="1"/>
  <c r="P35" i="32"/>
  <c r="R202" i="32"/>
  <c r="T34" i="32"/>
  <c r="T140" i="32" s="1"/>
  <c r="T182" i="32"/>
  <c r="T81" i="32"/>
  <c r="T82" i="32"/>
  <c r="T167" i="32"/>
  <c r="T168" i="32"/>
  <c r="T149" i="32"/>
  <c r="R96" i="32"/>
  <c r="R98" i="32"/>
  <c r="R97" i="32"/>
  <c r="R122" i="32"/>
  <c r="R124" i="32"/>
  <c r="R115" i="32"/>
  <c r="A115" i="32"/>
  <c r="A116" i="32" s="1"/>
  <c r="A117" i="32" s="1"/>
  <c r="A118" i="32" s="1"/>
  <c r="A119" i="32" s="1"/>
  <c r="A120" i="32" s="1"/>
  <c r="A103" i="32"/>
  <c r="A104" i="32" s="1"/>
  <c r="L87" i="32"/>
  <c r="L71" i="32"/>
  <c r="L84" i="32" s="1"/>
  <c r="J71" i="32"/>
  <c r="J84" i="32" s="1"/>
  <c r="R71" i="32"/>
  <c r="P71" i="32"/>
  <c r="P58" i="32"/>
  <c r="P57" i="32"/>
  <c r="J36" i="32"/>
  <c r="L36" i="32"/>
  <c r="N36" i="32"/>
  <c r="P36" i="32"/>
  <c r="D36" i="32"/>
  <c r="F36" i="32"/>
  <c r="H36" i="32"/>
  <c r="P33" i="32"/>
  <c r="N33" i="32"/>
  <c r="L33" i="32"/>
  <c r="J33" i="32"/>
  <c r="H33" i="32"/>
  <c r="F33" i="32"/>
  <c r="D33" i="32"/>
  <c r="P32" i="32"/>
  <c r="L32" i="32"/>
  <c r="H32" i="32"/>
  <c r="F32" i="32"/>
  <c r="D32" i="32"/>
  <c r="T169" i="31"/>
  <c r="T107" i="31"/>
  <c r="T104" i="31"/>
  <c r="T91" i="31"/>
  <c r="T90" i="31"/>
  <c r="R89" i="31"/>
  <c r="R96" i="31" s="1"/>
  <c r="P68" i="31"/>
  <c r="N68" i="31"/>
  <c r="N44" i="31"/>
  <c r="J44" i="31"/>
  <c r="F44" i="31"/>
  <c r="S280" i="31"/>
  <c r="R280" i="31"/>
  <c r="Q280" i="31"/>
  <c r="P280" i="31"/>
  <c r="R268" i="31"/>
  <c r="R216" i="31" s="1"/>
  <c r="P268" i="31"/>
  <c r="S262" i="31"/>
  <c r="R256" i="31"/>
  <c r="P256" i="31"/>
  <c r="R242" i="31"/>
  <c r="P242" i="31"/>
  <c r="R241" i="31"/>
  <c r="P241" i="31"/>
  <c r="R240" i="31"/>
  <c r="P240" i="31"/>
  <c r="R239" i="31"/>
  <c r="P239" i="31"/>
  <c r="R238" i="31"/>
  <c r="P238" i="31"/>
  <c r="R237" i="31"/>
  <c r="P237" i="31"/>
  <c r="R236" i="31"/>
  <c r="P236" i="31"/>
  <c r="R235" i="31"/>
  <c r="R244" i="31" s="1"/>
  <c r="S242" i="31" s="1"/>
  <c r="P235" i="31"/>
  <c r="R221" i="31"/>
  <c r="R201" i="31"/>
  <c r="T181" i="31"/>
  <c r="T167" i="31"/>
  <c r="T166" i="31"/>
  <c r="T148" i="31"/>
  <c r="B135" i="31"/>
  <c r="B196" i="31" s="1"/>
  <c r="B292" i="31" s="1"/>
  <c r="R123" i="31"/>
  <c r="R121" i="31"/>
  <c r="R114" i="31"/>
  <c r="A114" i="31"/>
  <c r="A115" i="31" s="1"/>
  <c r="A116" i="31" s="1"/>
  <c r="A117" i="31" s="1"/>
  <c r="A118" i="31" s="1"/>
  <c r="A119" i="31" s="1"/>
  <c r="A103" i="31"/>
  <c r="A104" i="31" s="1"/>
  <c r="R98" i="31"/>
  <c r="R97" i="31"/>
  <c r="L87" i="31"/>
  <c r="T82" i="31"/>
  <c r="T81" i="31"/>
  <c r="R71" i="31"/>
  <c r="L71" i="31"/>
  <c r="L84" i="31" s="1"/>
  <c r="J71" i="31"/>
  <c r="J84" i="31" s="1"/>
  <c r="P58" i="31"/>
  <c r="P57" i="31"/>
  <c r="T50" i="31"/>
  <c r="N43" i="31"/>
  <c r="J43" i="31"/>
  <c r="F43" i="31"/>
  <c r="P36" i="31"/>
  <c r="N36" i="31"/>
  <c r="L36" i="31"/>
  <c r="J36" i="31"/>
  <c r="H36" i="31"/>
  <c r="F36" i="31"/>
  <c r="D36" i="31"/>
  <c r="P35" i="31"/>
  <c r="L35" i="31"/>
  <c r="H35" i="31"/>
  <c r="F35" i="31"/>
  <c r="D35" i="31"/>
  <c r="T34" i="31"/>
  <c r="Q179" i="31" s="1"/>
  <c r="P33" i="31"/>
  <c r="N33" i="31"/>
  <c r="L33" i="31"/>
  <c r="J33" i="31"/>
  <c r="H33" i="31"/>
  <c r="F33" i="31"/>
  <c r="D33" i="31"/>
  <c r="P32" i="31"/>
  <c r="N32" i="31"/>
  <c r="N35" i="31" s="1"/>
  <c r="L32" i="31"/>
  <c r="J32" i="31"/>
  <c r="J35" i="31" s="1"/>
  <c r="H32" i="31"/>
  <c r="F32" i="31"/>
  <c r="D32" i="31"/>
  <c r="T107" i="30"/>
  <c r="T104" i="30"/>
  <c r="T91" i="30"/>
  <c r="T90" i="30"/>
  <c r="R89" i="30"/>
  <c r="P68" i="30"/>
  <c r="N68" i="30"/>
  <c r="N44" i="30"/>
  <c r="J44" i="30"/>
  <c r="F44" i="30"/>
  <c r="S280" i="30"/>
  <c r="R280" i="30"/>
  <c r="Q280" i="30"/>
  <c r="P280" i="30"/>
  <c r="R268" i="30"/>
  <c r="S266" i="30" s="1"/>
  <c r="P268" i="30"/>
  <c r="Q263" i="30" s="1"/>
  <c r="R256" i="30"/>
  <c r="P256" i="30"/>
  <c r="Q248" i="30" s="1"/>
  <c r="R242" i="30"/>
  <c r="P242" i="30"/>
  <c r="R241" i="30"/>
  <c r="P241" i="30"/>
  <c r="R240" i="30"/>
  <c r="P240" i="30"/>
  <c r="R239" i="30"/>
  <c r="P239" i="30"/>
  <c r="R238" i="30"/>
  <c r="P238" i="30"/>
  <c r="R237" i="30"/>
  <c r="P237" i="30"/>
  <c r="R236" i="30"/>
  <c r="P236" i="30"/>
  <c r="R235" i="30"/>
  <c r="P235" i="30"/>
  <c r="R221" i="30"/>
  <c r="R201" i="30"/>
  <c r="T181" i="30"/>
  <c r="T167" i="30"/>
  <c r="T166" i="30"/>
  <c r="T148" i="30"/>
  <c r="B135" i="30"/>
  <c r="B196" i="30" s="1"/>
  <c r="B292" i="30" s="1"/>
  <c r="R123" i="30"/>
  <c r="R121" i="30"/>
  <c r="R114" i="30"/>
  <c r="A114" i="30"/>
  <c r="A115" i="30" s="1"/>
  <c r="A116" i="30" s="1"/>
  <c r="A117" i="30" s="1"/>
  <c r="A118" i="30" s="1"/>
  <c r="A119" i="30" s="1"/>
  <c r="A103" i="30"/>
  <c r="A104" i="30" s="1"/>
  <c r="R98" i="30"/>
  <c r="R97" i="30"/>
  <c r="R96" i="30"/>
  <c r="L87" i="30"/>
  <c r="T82" i="30"/>
  <c r="T81" i="30"/>
  <c r="R71" i="30"/>
  <c r="L71" i="30"/>
  <c r="L84" i="30" s="1"/>
  <c r="J71" i="30"/>
  <c r="J84" i="30" s="1"/>
  <c r="P58" i="30"/>
  <c r="P57" i="30"/>
  <c r="T50" i="30"/>
  <c r="N43" i="30"/>
  <c r="J43" i="30"/>
  <c r="F43" i="30"/>
  <c r="P36" i="30"/>
  <c r="N36" i="30"/>
  <c r="L36" i="30"/>
  <c r="J36" i="30"/>
  <c r="H36" i="30"/>
  <c r="F36" i="30"/>
  <c r="D36" i="30"/>
  <c r="P35" i="30"/>
  <c r="L35" i="30"/>
  <c r="H35" i="30"/>
  <c r="F35" i="30"/>
  <c r="D35" i="30"/>
  <c r="T34" i="30"/>
  <c r="T139" i="30" s="1"/>
  <c r="P33" i="30"/>
  <c r="N33" i="30"/>
  <c r="L33" i="30"/>
  <c r="J33" i="30"/>
  <c r="H33" i="30"/>
  <c r="F33" i="30"/>
  <c r="D33" i="30"/>
  <c r="P32" i="30"/>
  <c r="N32" i="30"/>
  <c r="N35" i="30" s="1"/>
  <c r="L32" i="30"/>
  <c r="J32" i="30"/>
  <c r="J35" i="30" s="1"/>
  <c r="H32" i="30"/>
  <c r="F32" i="30"/>
  <c r="D32" i="30"/>
  <c r="T169" i="29"/>
  <c r="T107" i="29"/>
  <c r="T104" i="29"/>
  <c r="T91" i="29"/>
  <c r="T90" i="29"/>
  <c r="R89" i="29"/>
  <c r="R96" i="29" s="1"/>
  <c r="N68" i="29"/>
  <c r="R211" i="29" s="1"/>
  <c r="N44" i="29"/>
  <c r="J44" i="29"/>
  <c r="F44" i="29"/>
  <c r="S280" i="29"/>
  <c r="R280" i="29"/>
  <c r="Q280" i="29"/>
  <c r="P280" i="29"/>
  <c r="R268" i="29"/>
  <c r="S265" i="29" s="1"/>
  <c r="P268" i="29"/>
  <c r="R256" i="29"/>
  <c r="S248" i="29" s="1"/>
  <c r="P256" i="29"/>
  <c r="Q254" i="29" s="1"/>
  <c r="R242" i="29"/>
  <c r="P242" i="29"/>
  <c r="R241" i="29"/>
  <c r="P241" i="29"/>
  <c r="R240" i="29"/>
  <c r="P240" i="29"/>
  <c r="R239" i="29"/>
  <c r="P239" i="29"/>
  <c r="R238" i="29"/>
  <c r="P238" i="29"/>
  <c r="R237" i="29"/>
  <c r="P237" i="29"/>
  <c r="R236" i="29"/>
  <c r="P236" i="29"/>
  <c r="R235" i="29"/>
  <c r="P235" i="29"/>
  <c r="R221" i="29"/>
  <c r="R201" i="29"/>
  <c r="T181" i="29"/>
  <c r="T167" i="29"/>
  <c r="T166" i="29"/>
  <c r="T168" i="29" s="1"/>
  <c r="T148" i="29"/>
  <c r="B135" i="29"/>
  <c r="B196" i="29" s="1"/>
  <c r="B292" i="29" s="1"/>
  <c r="R123" i="29"/>
  <c r="R121" i="29"/>
  <c r="R131" i="29" s="1"/>
  <c r="R114" i="29"/>
  <c r="A114" i="29"/>
  <c r="A115" i="29" s="1"/>
  <c r="A116" i="29" s="1"/>
  <c r="A117" i="29" s="1"/>
  <c r="A118" i="29" s="1"/>
  <c r="A119" i="29" s="1"/>
  <c r="A103" i="29"/>
  <c r="A104" i="29" s="1"/>
  <c r="R98" i="29"/>
  <c r="R97" i="29"/>
  <c r="L87" i="29"/>
  <c r="T82" i="29"/>
  <c r="T81" i="29"/>
  <c r="R71" i="29"/>
  <c r="P71" i="29"/>
  <c r="L71" i="29"/>
  <c r="L84" i="29" s="1"/>
  <c r="J71" i="29"/>
  <c r="J84" i="29" s="1"/>
  <c r="P58" i="29"/>
  <c r="P57" i="29"/>
  <c r="T50" i="29"/>
  <c r="N43" i="29"/>
  <c r="J43" i="29"/>
  <c r="F43" i="29"/>
  <c r="P36" i="29"/>
  <c r="N36" i="29"/>
  <c r="L36" i="29"/>
  <c r="J36" i="29"/>
  <c r="H36" i="29"/>
  <c r="F36" i="29"/>
  <c r="D36" i="29"/>
  <c r="P35" i="29"/>
  <c r="L35" i="29"/>
  <c r="H35" i="29"/>
  <c r="F35" i="29"/>
  <c r="D35" i="29"/>
  <c r="T34" i="29"/>
  <c r="Q179" i="29" s="1"/>
  <c r="P33" i="29"/>
  <c r="N33" i="29"/>
  <c r="L33" i="29"/>
  <c r="J33" i="29"/>
  <c r="H33" i="29"/>
  <c r="F33" i="29"/>
  <c r="D33" i="29"/>
  <c r="P32" i="29"/>
  <c r="N32" i="29"/>
  <c r="N35" i="29" s="1"/>
  <c r="L32" i="29"/>
  <c r="J32" i="29"/>
  <c r="J35" i="29" s="1"/>
  <c r="H32" i="29"/>
  <c r="F32" i="29"/>
  <c r="D32" i="29"/>
  <c r="T107" i="28"/>
  <c r="T104" i="28"/>
  <c r="T91" i="28"/>
  <c r="T90" i="28"/>
  <c r="R89" i="28"/>
  <c r="R96" i="28" s="1"/>
  <c r="N68" i="28"/>
  <c r="R211" i="28" s="1"/>
  <c r="N44" i="28"/>
  <c r="J44" i="28"/>
  <c r="F44" i="28"/>
  <c r="S280" i="28"/>
  <c r="R280" i="28"/>
  <c r="Q280" i="28"/>
  <c r="P280" i="28"/>
  <c r="R268" i="28"/>
  <c r="S263" i="28" s="1"/>
  <c r="P268" i="28"/>
  <c r="R256" i="28"/>
  <c r="S254" i="28" s="1"/>
  <c r="P256" i="28"/>
  <c r="Q247" i="28" s="1"/>
  <c r="R242" i="28"/>
  <c r="P242" i="28"/>
  <c r="R241" i="28"/>
  <c r="P241" i="28"/>
  <c r="R240" i="28"/>
  <c r="P240" i="28"/>
  <c r="R239" i="28"/>
  <c r="P239" i="28"/>
  <c r="R238" i="28"/>
  <c r="P238" i="28"/>
  <c r="R237" i="28"/>
  <c r="P237" i="28"/>
  <c r="R236" i="28"/>
  <c r="P236" i="28"/>
  <c r="R235" i="28"/>
  <c r="P235" i="28"/>
  <c r="R221" i="28"/>
  <c r="R201" i="28"/>
  <c r="T181" i="28"/>
  <c r="T167" i="28"/>
  <c r="T166" i="28"/>
  <c r="T148" i="28"/>
  <c r="B135" i="28"/>
  <c r="B196" i="28" s="1"/>
  <c r="B292" i="28" s="1"/>
  <c r="R123" i="28"/>
  <c r="R121" i="28"/>
  <c r="R114" i="28"/>
  <c r="A114" i="28"/>
  <c r="A115" i="28" s="1"/>
  <c r="A116" i="28" s="1"/>
  <c r="A117" i="28" s="1"/>
  <c r="A118" i="28" s="1"/>
  <c r="A119" i="28" s="1"/>
  <c r="A103" i="28"/>
  <c r="A104" i="28" s="1"/>
  <c r="R98" i="28"/>
  <c r="R97" i="28"/>
  <c r="L87" i="28"/>
  <c r="T82" i="28"/>
  <c r="T81" i="28"/>
  <c r="R71" i="28"/>
  <c r="L71" i="28"/>
  <c r="L84" i="28" s="1"/>
  <c r="J71" i="28"/>
  <c r="J84" i="28" s="1"/>
  <c r="P71" i="28"/>
  <c r="P58" i="28"/>
  <c r="P57" i="28"/>
  <c r="T50" i="28"/>
  <c r="N43" i="28"/>
  <c r="J43" i="28"/>
  <c r="F43" i="28"/>
  <c r="P36" i="28"/>
  <c r="N36" i="28"/>
  <c r="L36" i="28"/>
  <c r="J36" i="28"/>
  <c r="H36" i="28"/>
  <c r="F36" i="28"/>
  <c r="D36" i="28"/>
  <c r="P35" i="28"/>
  <c r="L35" i="28"/>
  <c r="H35" i="28"/>
  <c r="F35" i="28"/>
  <c r="D35" i="28"/>
  <c r="T34" i="28"/>
  <c r="Q179" i="28" s="1"/>
  <c r="P33" i="28"/>
  <c r="N33" i="28"/>
  <c r="L33" i="28"/>
  <c r="J33" i="28"/>
  <c r="H33" i="28"/>
  <c r="F33" i="28"/>
  <c r="D33" i="28"/>
  <c r="P32" i="28"/>
  <c r="N32" i="28"/>
  <c r="N35" i="28" s="1"/>
  <c r="L32" i="28"/>
  <c r="J32" i="28"/>
  <c r="J35" i="28" s="1"/>
  <c r="H32" i="28"/>
  <c r="F32" i="28"/>
  <c r="D32" i="28"/>
  <c r="R89" i="27"/>
  <c r="R96" i="27" s="1"/>
  <c r="T107" i="27"/>
  <c r="T104" i="27"/>
  <c r="T91" i="27"/>
  <c r="T90" i="27"/>
  <c r="P68" i="27"/>
  <c r="P71" i="27" s="1"/>
  <c r="N68" i="27"/>
  <c r="N44" i="27"/>
  <c r="J44" i="27"/>
  <c r="F44" i="27"/>
  <c r="D32" i="27"/>
  <c r="F32" i="27"/>
  <c r="H32" i="27"/>
  <c r="J32" i="27"/>
  <c r="J35" i="27" s="1"/>
  <c r="L32" i="27"/>
  <c r="N32" i="27"/>
  <c r="N35" i="27" s="1"/>
  <c r="P32" i="27"/>
  <c r="D33" i="27"/>
  <c r="F33" i="27"/>
  <c r="H33" i="27"/>
  <c r="J33" i="27"/>
  <c r="L33" i="27"/>
  <c r="N33" i="27"/>
  <c r="P33" i="27"/>
  <c r="T34" i="27"/>
  <c r="T52" i="27" s="1"/>
  <c r="D35" i="27"/>
  <c r="F35" i="27"/>
  <c r="H35" i="27"/>
  <c r="L35" i="27"/>
  <c r="P35" i="27"/>
  <c r="D36" i="27"/>
  <c r="F36" i="27"/>
  <c r="H36" i="27"/>
  <c r="J36" i="27"/>
  <c r="L36" i="27"/>
  <c r="N36" i="27"/>
  <c r="P36" i="27"/>
  <c r="F43" i="27"/>
  <c r="J43" i="27"/>
  <c r="N43" i="27"/>
  <c r="T50" i="27"/>
  <c r="P57" i="27"/>
  <c r="P58" i="27"/>
  <c r="J71" i="27"/>
  <c r="J84" i="27" s="1"/>
  <c r="L71" i="27"/>
  <c r="R71" i="27"/>
  <c r="T81" i="27"/>
  <c r="T82" i="27"/>
  <c r="L84" i="27"/>
  <c r="L87" i="27"/>
  <c r="R97" i="27"/>
  <c r="R98" i="27"/>
  <c r="A103" i="27"/>
  <c r="A104" i="27" s="1"/>
  <c r="A114" i="27"/>
  <c r="A115" i="27" s="1"/>
  <c r="A116" i="27" s="1"/>
  <c r="A117" i="27" s="1"/>
  <c r="A118" i="27" s="1"/>
  <c r="A119" i="27" s="1"/>
  <c r="R114" i="27"/>
  <c r="R121" i="27"/>
  <c r="R123" i="27"/>
  <c r="B135" i="27"/>
  <c r="B196" i="27" s="1"/>
  <c r="B292" i="27" s="1"/>
  <c r="T148" i="27"/>
  <c r="T166" i="27"/>
  <c r="T167" i="27"/>
  <c r="T181" i="27"/>
  <c r="R201" i="27"/>
  <c r="P268" i="27"/>
  <c r="R268" i="27"/>
  <c r="S263" i="27" s="1"/>
  <c r="R221" i="27"/>
  <c r="P235" i="27"/>
  <c r="P236" i="27"/>
  <c r="P237" i="27"/>
  <c r="P238" i="27"/>
  <c r="P239" i="27"/>
  <c r="P240" i="27"/>
  <c r="P241" i="27"/>
  <c r="P242" i="27"/>
  <c r="R235" i="27"/>
  <c r="R236" i="27"/>
  <c r="R237" i="27"/>
  <c r="R238" i="27"/>
  <c r="R239" i="27"/>
  <c r="R240" i="27"/>
  <c r="R241" i="27"/>
  <c r="R242" i="27"/>
  <c r="P256" i="27"/>
  <c r="Q247" i="27" s="1"/>
  <c r="R256" i="27"/>
  <c r="S253" i="27" s="1"/>
  <c r="P280" i="27"/>
  <c r="Q280" i="27"/>
  <c r="R280" i="27"/>
  <c r="S280" i="27"/>
  <c r="R221" i="6"/>
  <c r="T105" i="26"/>
  <c r="T107" i="26"/>
  <c r="T104" i="26"/>
  <c r="T91" i="26"/>
  <c r="T90" i="26"/>
  <c r="R89" i="26"/>
  <c r="R96" i="26" s="1"/>
  <c r="P68" i="26"/>
  <c r="P71" i="26" s="1"/>
  <c r="N68" i="26"/>
  <c r="N44" i="26"/>
  <c r="J44" i="26"/>
  <c r="F44" i="26"/>
  <c r="D32" i="26"/>
  <c r="F32" i="26"/>
  <c r="H32" i="26"/>
  <c r="J32" i="26"/>
  <c r="J35" i="26" s="1"/>
  <c r="L32" i="26"/>
  <c r="N32" i="26"/>
  <c r="N35" i="26" s="1"/>
  <c r="P32" i="26"/>
  <c r="D33" i="26"/>
  <c r="F33" i="26"/>
  <c r="H33" i="26"/>
  <c r="J33" i="26"/>
  <c r="L33" i="26"/>
  <c r="N33" i="26"/>
  <c r="P33" i="26"/>
  <c r="T34" i="26"/>
  <c r="Q179" i="26" s="1"/>
  <c r="D35" i="26"/>
  <c r="F35" i="26"/>
  <c r="H35" i="26"/>
  <c r="L35" i="26"/>
  <c r="P35" i="26"/>
  <c r="D36" i="26"/>
  <c r="F36" i="26"/>
  <c r="H36" i="26"/>
  <c r="J36" i="26"/>
  <c r="L36" i="26"/>
  <c r="N36" i="26"/>
  <c r="P36" i="26"/>
  <c r="F43" i="26"/>
  <c r="J43" i="26"/>
  <c r="N43" i="26"/>
  <c r="T50" i="26"/>
  <c r="P57" i="26"/>
  <c r="P58" i="26"/>
  <c r="J71" i="26"/>
  <c r="J84" i="26" s="1"/>
  <c r="L71" i="26"/>
  <c r="L84" i="26" s="1"/>
  <c r="R71" i="26"/>
  <c r="T81" i="26"/>
  <c r="T82" i="26"/>
  <c r="L87" i="26"/>
  <c r="R97" i="26"/>
  <c r="R98" i="26"/>
  <c r="A103" i="26"/>
  <c r="A104" i="26" s="1"/>
  <c r="A114" i="26"/>
  <c r="A115" i="26" s="1"/>
  <c r="A116" i="26" s="1"/>
  <c r="A117" i="26" s="1"/>
  <c r="A118" i="26" s="1"/>
  <c r="A119" i="26" s="1"/>
  <c r="R114" i="26"/>
  <c r="R121" i="26"/>
  <c r="R123" i="26"/>
  <c r="B135" i="26"/>
  <c r="B196" i="26" s="1"/>
  <c r="B292" i="26" s="1"/>
  <c r="T148" i="26"/>
  <c r="T166" i="26"/>
  <c r="T167" i="26"/>
  <c r="T181" i="26"/>
  <c r="R201" i="26"/>
  <c r="P268" i="26"/>
  <c r="Q259" i="26" s="1"/>
  <c r="R268" i="26"/>
  <c r="S263" i="26" s="1"/>
  <c r="R221" i="26"/>
  <c r="P235" i="26"/>
  <c r="P236" i="26"/>
  <c r="P237" i="26"/>
  <c r="P238" i="26"/>
  <c r="P239" i="26"/>
  <c r="P240" i="26"/>
  <c r="P241" i="26"/>
  <c r="P242" i="26"/>
  <c r="R235" i="26"/>
  <c r="R236" i="26"/>
  <c r="R237" i="26"/>
  <c r="R238" i="26"/>
  <c r="R239" i="26"/>
  <c r="R240" i="26"/>
  <c r="R241" i="26"/>
  <c r="R242" i="26"/>
  <c r="P256" i="26"/>
  <c r="R256" i="26"/>
  <c r="S254" i="26" s="1"/>
  <c r="P280" i="26"/>
  <c r="Q280" i="26"/>
  <c r="R280" i="26"/>
  <c r="S280" i="26"/>
  <c r="T169" i="25"/>
  <c r="T112" i="25"/>
  <c r="T110" i="25"/>
  <c r="T107" i="25"/>
  <c r="T104" i="25"/>
  <c r="T91" i="25"/>
  <c r="T90" i="25"/>
  <c r="R89" i="25"/>
  <c r="R96" i="25" s="1"/>
  <c r="P68" i="25"/>
  <c r="P71" i="25" s="1"/>
  <c r="N68" i="25"/>
  <c r="N44" i="25"/>
  <c r="J44" i="25"/>
  <c r="F44" i="25"/>
  <c r="D32" i="25"/>
  <c r="F32" i="25"/>
  <c r="H32" i="25"/>
  <c r="J32" i="25"/>
  <c r="J35" i="25" s="1"/>
  <c r="L32" i="25"/>
  <c r="N32" i="25"/>
  <c r="N35" i="25" s="1"/>
  <c r="P32" i="25"/>
  <c r="D33" i="25"/>
  <c r="F33" i="25"/>
  <c r="H33" i="25"/>
  <c r="J33" i="25"/>
  <c r="L33" i="25"/>
  <c r="N33" i="25"/>
  <c r="P33" i="25"/>
  <c r="T34" i="25"/>
  <c r="D35" i="25"/>
  <c r="F35" i="25"/>
  <c r="H35" i="25"/>
  <c r="L35" i="25"/>
  <c r="P35" i="25"/>
  <c r="D36" i="25"/>
  <c r="F36" i="25"/>
  <c r="H36" i="25"/>
  <c r="J36" i="25"/>
  <c r="L36" i="25"/>
  <c r="N36" i="25"/>
  <c r="P36" i="25"/>
  <c r="F43" i="25"/>
  <c r="J43" i="25"/>
  <c r="N43" i="25"/>
  <c r="T50" i="25"/>
  <c r="P57" i="25"/>
  <c r="P58" i="25"/>
  <c r="J71" i="25"/>
  <c r="J84" i="25" s="1"/>
  <c r="L71" i="25"/>
  <c r="L84" i="25" s="1"/>
  <c r="R71" i="25"/>
  <c r="T81" i="25"/>
  <c r="T82" i="25"/>
  <c r="L87" i="25"/>
  <c r="R97" i="25"/>
  <c r="R98" i="25"/>
  <c r="A103" i="25"/>
  <c r="A104" i="25" s="1"/>
  <c r="A114" i="25"/>
  <c r="A115" i="25" s="1"/>
  <c r="A116" i="25" s="1"/>
  <c r="A117" i="25" s="1"/>
  <c r="A118" i="25" s="1"/>
  <c r="A119" i="25" s="1"/>
  <c r="R114" i="25"/>
  <c r="R121" i="25"/>
  <c r="R123" i="25"/>
  <c r="B135" i="25"/>
  <c r="B196" i="25" s="1"/>
  <c r="B292" i="25" s="1"/>
  <c r="T148" i="25"/>
  <c r="T166" i="25"/>
  <c r="T167" i="25"/>
  <c r="T181" i="25"/>
  <c r="R201" i="25"/>
  <c r="P268" i="25"/>
  <c r="R268" i="25"/>
  <c r="S265" i="25" s="1"/>
  <c r="R221" i="25"/>
  <c r="P235" i="25"/>
  <c r="P236" i="25"/>
  <c r="P237" i="25"/>
  <c r="P238" i="25"/>
  <c r="P239" i="25"/>
  <c r="P240" i="25"/>
  <c r="P241" i="25"/>
  <c r="P242" i="25"/>
  <c r="R235" i="25"/>
  <c r="R236" i="25"/>
  <c r="R237" i="25"/>
  <c r="R238" i="25"/>
  <c r="R239" i="25"/>
  <c r="R240" i="25"/>
  <c r="R241" i="25"/>
  <c r="R242" i="25"/>
  <c r="P256" i="25"/>
  <c r="Q253" i="25" s="1"/>
  <c r="R256" i="25"/>
  <c r="P280" i="25"/>
  <c r="Q280" i="25"/>
  <c r="R280" i="25"/>
  <c r="R282" i="25" s="1"/>
  <c r="S280" i="25"/>
  <c r="T107" i="24"/>
  <c r="T104" i="24"/>
  <c r="T91" i="24"/>
  <c r="T90" i="24"/>
  <c r="R89" i="24"/>
  <c r="R96" i="24" s="1"/>
  <c r="P68" i="24"/>
  <c r="N68" i="24"/>
  <c r="N71" i="24" s="1"/>
  <c r="P36" i="24"/>
  <c r="P35" i="24"/>
  <c r="N36" i="24"/>
  <c r="L36" i="24"/>
  <c r="L35" i="24"/>
  <c r="H36" i="24"/>
  <c r="H35" i="24"/>
  <c r="F36" i="24"/>
  <c r="F35" i="24"/>
  <c r="D36" i="24"/>
  <c r="D35" i="24"/>
  <c r="J36" i="24"/>
  <c r="P33" i="24"/>
  <c r="P32" i="24"/>
  <c r="N33" i="24"/>
  <c r="N32" i="24"/>
  <c r="N35" i="24" s="1"/>
  <c r="L33" i="24"/>
  <c r="L32" i="24"/>
  <c r="J33" i="24"/>
  <c r="J32" i="24"/>
  <c r="J35" i="24" s="1"/>
  <c r="H33" i="24"/>
  <c r="H32" i="24"/>
  <c r="D33" i="24"/>
  <c r="D32" i="24"/>
  <c r="F32" i="24"/>
  <c r="F33" i="24"/>
  <c r="N44" i="24"/>
  <c r="J44" i="24"/>
  <c r="F44" i="24"/>
  <c r="T34" i="24"/>
  <c r="F43" i="24"/>
  <c r="J43" i="24"/>
  <c r="N43" i="24"/>
  <c r="T50" i="24"/>
  <c r="P57" i="24"/>
  <c r="P58" i="24"/>
  <c r="J71" i="24"/>
  <c r="J84" i="24" s="1"/>
  <c r="L71" i="24"/>
  <c r="L84" i="24" s="1"/>
  <c r="R71" i="24"/>
  <c r="T81" i="24"/>
  <c r="T82" i="24"/>
  <c r="L87" i="24"/>
  <c r="R97" i="24"/>
  <c r="R98" i="24"/>
  <c r="A103" i="24"/>
  <c r="A104" i="24" s="1"/>
  <c r="A114" i="24"/>
  <c r="A115" i="24" s="1"/>
  <c r="A116" i="24" s="1"/>
  <c r="A117" i="24" s="1"/>
  <c r="A118" i="24" s="1"/>
  <c r="A119" i="24" s="1"/>
  <c r="R114" i="24"/>
  <c r="R121" i="24"/>
  <c r="R131" i="24" s="1"/>
  <c r="R123" i="24"/>
  <c r="B135" i="24"/>
  <c r="B196" i="24" s="1"/>
  <c r="B292" i="24" s="1"/>
  <c r="T148" i="24"/>
  <c r="T166" i="24"/>
  <c r="T167" i="24"/>
  <c r="T181" i="24"/>
  <c r="R201" i="24"/>
  <c r="P268" i="24"/>
  <c r="R268" i="24"/>
  <c r="S259" i="24" s="1"/>
  <c r="R221" i="24"/>
  <c r="P235" i="24"/>
  <c r="P236" i="24"/>
  <c r="P237" i="24"/>
  <c r="P238" i="24"/>
  <c r="P239" i="24"/>
  <c r="P240" i="24"/>
  <c r="P241" i="24"/>
  <c r="P242" i="24"/>
  <c r="R235" i="24"/>
  <c r="R236" i="24"/>
  <c r="R237" i="24"/>
  <c r="R238" i="24"/>
  <c r="R239" i="24"/>
  <c r="R240" i="24"/>
  <c r="R241" i="24"/>
  <c r="R242" i="24"/>
  <c r="P256" i="24"/>
  <c r="Q253" i="24" s="1"/>
  <c r="R256" i="24"/>
  <c r="S247" i="24" s="1"/>
  <c r="S263" i="24"/>
  <c r="S264" i="24"/>
  <c r="P280" i="24"/>
  <c r="Q280" i="24"/>
  <c r="R280" i="24"/>
  <c r="S280" i="24"/>
  <c r="P236" i="23"/>
  <c r="P235" i="23"/>
  <c r="P237" i="23"/>
  <c r="P238" i="23"/>
  <c r="P239" i="23"/>
  <c r="P240" i="23"/>
  <c r="P241" i="23"/>
  <c r="P242" i="23"/>
  <c r="R235" i="23"/>
  <c r="R236" i="23"/>
  <c r="R237" i="23"/>
  <c r="R238" i="23"/>
  <c r="R239" i="23"/>
  <c r="R240" i="23"/>
  <c r="R241" i="23"/>
  <c r="R242" i="23"/>
  <c r="T105" i="23"/>
  <c r="T107" i="23"/>
  <c r="T104" i="23"/>
  <c r="T91" i="23"/>
  <c r="T90" i="23"/>
  <c r="Q181" i="23"/>
  <c r="R89" i="23"/>
  <c r="P68" i="23"/>
  <c r="P71" i="23" s="1"/>
  <c r="N68" i="23"/>
  <c r="R211" i="23" s="1"/>
  <c r="N44" i="23"/>
  <c r="J44" i="23"/>
  <c r="F44" i="23"/>
  <c r="R221" i="23"/>
  <c r="R220" i="7"/>
  <c r="R221" i="7" s="1"/>
  <c r="R221" i="8"/>
  <c r="R221" i="9"/>
  <c r="R221" i="10"/>
  <c r="R221" i="14"/>
  <c r="R221" i="15"/>
  <c r="R221" i="16"/>
  <c r="R221" i="17"/>
  <c r="R221" i="18"/>
  <c r="R222" i="19"/>
  <c r="R222" i="20"/>
  <c r="R221" i="21"/>
  <c r="R221" i="22"/>
  <c r="D32" i="23"/>
  <c r="D33" i="23"/>
  <c r="F33" i="23"/>
  <c r="H33" i="23"/>
  <c r="J33" i="23"/>
  <c r="L33" i="23"/>
  <c r="N33" i="23"/>
  <c r="P33" i="23"/>
  <c r="T34" i="23"/>
  <c r="T52" i="23" s="1"/>
  <c r="D35" i="23"/>
  <c r="F36" i="23"/>
  <c r="H36" i="23"/>
  <c r="H35" i="23" s="1"/>
  <c r="J36" i="23"/>
  <c r="L36" i="23"/>
  <c r="L35" i="23" s="1"/>
  <c r="N36" i="23"/>
  <c r="P36" i="23"/>
  <c r="P35" i="23" s="1"/>
  <c r="D36" i="23"/>
  <c r="F43" i="23"/>
  <c r="J43" i="23"/>
  <c r="N43" i="23"/>
  <c r="T50" i="23"/>
  <c r="P57" i="23"/>
  <c r="P58" i="23"/>
  <c r="J71" i="23"/>
  <c r="J84" i="23" s="1"/>
  <c r="L71" i="23"/>
  <c r="L84" i="23" s="1"/>
  <c r="R71" i="23"/>
  <c r="T81" i="23"/>
  <c r="T82" i="23"/>
  <c r="L87" i="23"/>
  <c r="R96" i="23"/>
  <c r="R97" i="23"/>
  <c r="R98" i="23"/>
  <c r="A103" i="23"/>
  <c r="A104" i="23" s="1"/>
  <c r="A114" i="23"/>
  <c r="A115" i="23" s="1"/>
  <c r="A116" i="23" s="1"/>
  <c r="A117" i="23" s="1"/>
  <c r="A118" i="23" s="1"/>
  <c r="A119" i="23" s="1"/>
  <c r="R114" i="23"/>
  <c r="R121" i="23"/>
  <c r="B135" i="23"/>
  <c r="B196" i="23" s="1"/>
  <c r="B292" i="23" s="1"/>
  <c r="T148" i="23"/>
  <c r="T166" i="23"/>
  <c r="T167" i="23"/>
  <c r="R201" i="23"/>
  <c r="P268" i="23"/>
  <c r="R268" i="23"/>
  <c r="S261" i="23" s="1"/>
  <c r="P256" i="23"/>
  <c r="R256" i="23"/>
  <c r="P280" i="23"/>
  <c r="Q280" i="23"/>
  <c r="R280" i="23"/>
  <c r="S280" i="23"/>
  <c r="P256" i="22"/>
  <c r="Q253" i="22" s="1"/>
  <c r="R235" i="22"/>
  <c r="R236" i="22"/>
  <c r="R237" i="22"/>
  <c r="R238" i="22"/>
  <c r="R239" i="22"/>
  <c r="R240" i="22"/>
  <c r="R241" i="22"/>
  <c r="R242" i="22"/>
  <c r="P235" i="22"/>
  <c r="P236" i="22"/>
  <c r="P237" i="22"/>
  <c r="P238" i="22"/>
  <c r="P239" i="22"/>
  <c r="P240" i="22"/>
  <c r="P241" i="22"/>
  <c r="P242" i="22"/>
  <c r="R256" i="22"/>
  <c r="S248" i="22" s="1"/>
  <c r="R268" i="22"/>
  <c r="S260" i="22" s="1"/>
  <c r="T107" i="22"/>
  <c r="T104" i="22"/>
  <c r="T91" i="22"/>
  <c r="T90" i="22"/>
  <c r="R89" i="22"/>
  <c r="R96" i="22" s="1"/>
  <c r="P68" i="22"/>
  <c r="P71" i="22" s="1"/>
  <c r="N68" i="22"/>
  <c r="N44" i="22"/>
  <c r="J44" i="22"/>
  <c r="F44" i="22"/>
  <c r="D32" i="22"/>
  <c r="D33" i="22"/>
  <c r="F33" i="22"/>
  <c r="H33" i="22"/>
  <c r="J33" i="22"/>
  <c r="L33" i="22"/>
  <c r="N33" i="22"/>
  <c r="P33" i="22"/>
  <c r="T34" i="22"/>
  <c r="D35" i="22"/>
  <c r="F36" i="22"/>
  <c r="F35" i="22" s="1"/>
  <c r="H36" i="22"/>
  <c r="H35" i="22" s="1"/>
  <c r="J36" i="22"/>
  <c r="J35" i="22" s="1"/>
  <c r="L36" i="22"/>
  <c r="L35" i="22" s="1"/>
  <c r="N36" i="22"/>
  <c r="N35" i="22" s="1"/>
  <c r="P36" i="22"/>
  <c r="P35" i="22" s="1"/>
  <c r="F43" i="22"/>
  <c r="J43" i="22"/>
  <c r="N43" i="22"/>
  <c r="D36" i="22"/>
  <c r="T50" i="22"/>
  <c r="P57" i="22"/>
  <c r="P58" i="22"/>
  <c r="J71" i="22"/>
  <c r="J84" i="22" s="1"/>
  <c r="L71" i="22"/>
  <c r="L84" i="22" s="1"/>
  <c r="R71" i="22"/>
  <c r="T81" i="22"/>
  <c r="T82" i="22"/>
  <c r="L87" i="22"/>
  <c r="R97" i="22"/>
  <c r="R98" i="22"/>
  <c r="A103" i="22"/>
  <c r="A104" i="22" s="1"/>
  <c r="A114" i="22"/>
  <c r="A115" i="22" s="1"/>
  <c r="A116" i="22" s="1"/>
  <c r="A117" i="22" s="1"/>
  <c r="A118" i="22" s="1"/>
  <c r="A119" i="22" s="1"/>
  <c r="R114" i="22"/>
  <c r="R121" i="22"/>
  <c r="R123" i="22"/>
  <c r="B135" i="22"/>
  <c r="B196" i="22" s="1"/>
  <c r="B292" i="22" s="1"/>
  <c r="T148" i="22"/>
  <c r="T166" i="22"/>
  <c r="T167" i="22"/>
  <c r="T181" i="22"/>
  <c r="R201" i="22"/>
  <c r="P268" i="22"/>
  <c r="S259" i="22"/>
  <c r="S263" i="22"/>
  <c r="P280" i="22"/>
  <c r="Q280" i="22"/>
  <c r="R280" i="22"/>
  <c r="S280" i="22"/>
  <c r="T169" i="21"/>
  <c r="T104" i="21"/>
  <c r="T91" i="21"/>
  <c r="T90" i="21"/>
  <c r="Q181" i="21"/>
  <c r="R121" i="21"/>
  <c r="R89" i="21"/>
  <c r="R96" i="21" s="1"/>
  <c r="P68" i="21"/>
  <c r="N68" i="21"/>
  <c r="N71" i="21" s="1"/>
  <c r="N44" i="21"/>
  <c r="J44" i="21"/>
  <c r="F44" i="21"/>
  <c r="D32" i="21"/>
  <c r="D33" i="21"/>
  <c r="F33" i="21"/>
  <c r="H33" i="21"/>
  <c r="J33" i="21"/>
  <c r="L33" i="21"/>
  <c r="N33" i="21"/>
  <c r="P33" i="21"/>
  <c r="T34" i="21"/>
  <c r="D35" i="21"/>
  <c r="F36" i="21"/>
  <c r="F35" i="21" s="1"/>
  <c r="H36" i="21"/>
  <c r="J36" i="21"/>
  <c r="J35" i="21" s="1"/>
  <c r="L36" i="21"/>
  <c r="N36" i="21"/>
  <c r="N35" i="21" s="1"/>
  <c r="P36" i="21"/>
  <c r="P35" i="21" s="1"/>
  <c r="D36" i="21"/>
  <c r="F43" i="21"/>
  <c r="J43" i="21"/>
  <c r="N43" i="21"/>
  <c r="T50" i="21"/>
  <c r="P57" i="21"/>
  <c r="P58" i="21"/>
  <c r="J71" i="21"/>
  <c r="J84" i="21" s="1"/>
  <c r="L71" i="21"/>
  <c r="R71" i="21"/>
  <c r="T81" i="21"/>
  <c r="T82" i="21"/>
  <c r="L84" i="21"/>
  <c r="L87" i="21"/>
  <c r="R97" i="21"/>
  <c r="R98" i="21"/>
  <c r="R114" i="21"/>
  <c r="A103" i="21"/>
  <c r="A104" i="21" s="1"/>
  <c r="A114" i="21"/>
  <c r="A115" i="21" s="1"/>
  <c r="A116" i="21" s="1"/>
  <c r="A117" i="21" s="1"/>
  <c r="A118" i="21" s="1"/>
  <c r="A119" i="21" s="1"/>
  <c r="B135" i="21"/>
  <c r="B196" i="21" s="1"/>
  <c r="B280" i="21" s="1"/>
  <c r="T148" i="21"/>
  <c r="T166" i="21"/>
  <c r="T167" i="21"/>
  <c r="R201" i="21"/>
  <c r="P256" i="21"/>
  <c r="Q249" i="21" s="1"/>
  <c r="R256" i="21"/>
  <c r="S252" i="21" s="1"/>
  <c r="P244" i="21"/>
  <c r="Q237" i="21" s="1"/>
  <c r="R244" i="21"/>
  <c r="P268" i="21"/>
  <c r="Q268" i="21"/>
  <c r="R268" i="21"/>
  <c r="S268" i="21"/>
  <c r="T108" i="20"/>
  <c r="T105" i="20"/>
  <c r="T92" i="20"/>
  <c r="T91" i="20"/>
  <c r="R90" i="20"/>
  <c r="R97" i="20" s="1"/>
  <c r="P69" i="20"/>
  <c r="P72" i="20" s="1"/>
  <c r="N69" i="20"/>
  <c r="N72" i="20" s="1"/>
  <c r="N44" i="20"/>
  <c r="J44" i="20"/>
  <c r="F44" i="20"/>
  <c r="D32" i="20"/>
  <c r="D33" i="20"/>
  <c r="F33" i="20"/>
  <c r="H33" i="20"/>
  <c r="J33" i="20"/>
  <c r="L33" i="20"/>
  <c r="N33" i="20"/>
  <c r="P33" i="20"/>
  <c r="T34" i="20"/>
  <c r="T140" i="20" s="1"/>
  <c r="D35" i="20"/>
  <c r="F36" i="20"/>
  <c r="F35" i="20" s="1"/>
  <c r="H36" i="20"/>
  <c r="J36" i="20"/>
  <c r="J35" i="20" s="1"/>
  <c r="L36" i="20"/>
  <c r="L35" i="20" s="1"/>
  <c r="N36" i="20"/>
  <c r="N35" i="20" s="1"/>
  <c r="P36" i="20"/>
  <c r="P35" i="20" s="1"/>
  <c r="D36" i="20"/>
  <c r="F43" i="20"/>
  <c r="J43" i="20"/>
  <c r="N43" i="20"/>
  <c r="T50" i="20"/>
  <c r="P57" i="20"/>
  <c r="P58" i="20"/>
  <c r="J72" i="20"/>
  <c r="J85" i="20" s="1"/>
  <c r="L72" i="20"/>
  <c r="L85" i="20" s="1"/>
  <c r="R72" i="20"/>
  <c r="T82" i="20"/>
  <c r="T83" i="20"/>
  <c r="L88" i="20"/>
  <c r="R98" i="20"/>
  <c r="R99" i="20"/>
  <c r="A104" i="20"/>
  <c r="A105" i="20" s="1"/>
  <c r="A115" i="20"/>
  <c r="A116" i="20" s="1"/>
  <c r="A117" i="20" s="1"/>
  <c r="A118" i="20" s="1"/>
  <c r="A119" i="20" s="1"/>
  <c r="A120" i="20" s="1"/>
  <c r="R115" i="20"/>
  <c r="R122" i="20"/>
  <c r="R124" i="20"/>
  <c r="B136" i="20"/>
  <c r="B197" i="20" s="1"/>
  <c r="B281" i="20" s="1"/>
  <c r="T149" i="20"/>
  <c r="T167" i="20"/>
  <c r="T168" i="20"/>
  <c r="T182" i="20"/>
  <c r="R202" i="20"/>
  <c r="P257" i="20"/>
  <c r="R257" i="20"/>
  <c r="S252" i="20" s="1"/>
  <c r="P245" i="20"/>
  <c r="Q237" i="20" s="1"/>
  <c r="R245" i="20"/>
  <c r="P269" i="20"/>
  <c r="Q269" i="20"/>
  <c r="R269" i="20"/>
  <c r="S269" i="20"/>
  <c r="R90" i="19"/>
  <c r="R97" i="19" s="1"/>
  <c r="T108" i="19"/>
  <c r="T105" i="19"/>
  <c r="T92" i="19"/>
  <c r="T91" i="19"/>
  <c r="P69" i="19"/>
  <c r="N69" i="19"/>
  <c r="N44" i="19"/>
  <c r="J44" i="19"/>
  <c r="F44" i="19"/>
  <c r="T170" i="19"/>
  <c r="D32" i="19"/>
  <c r="D33" i="19"/>
  <c r="F33" i="19"/>
  <c r="H33" i="19"/>
  <c r="J33" i="19"/>
  <c r="L33" i="19"/>
  <c r="N33" i="19"/>
  <c r="P33" i="19"/>
  <c r="T34" i="19"/>
  <c r="D35" i="19"/>
  <c r="F36" i="19"/>
  <c r="F35" i="19" s="1"/>
  <c r="H36" i="19"/>
  <c r="H35" i="19" s="1"/>
  <c r="J36" i="19"/>
  <c r="J35" i="19" s="1"/>
  <c r="L36" i="19"/>
  <c r="N36" i="19"/>
  <c r="N35" i="19" s="1"/>
  <c r="P36" i="19"/>
  <c r="P35" i="19" s="1"/>
  <c r="D36" i="19"/>
  <c r="F43" i="19"/>
  <c r="J43" i="19"/>
  <c r="N43" i="19"/>
  <c r="T50" i="19"/>
  <c r="P57" i="19"/>
  <c r="P58" i="19"/>
  <c r="J72" i="19"/>
  <c r="J85" i="19" s="1"/>
  <c r="L72" i="19"/>
  <c r="L85" i="19" s="1"/>
  <c r="P72" i="19"/>
  <c r="R72" i="19"/>
  <c r="T82" i="19"/>
  <c r="T83" i="19"/>
  <c r="L88" i="19"/>
  <c r="R98" i="19"/>
  <c r="R99" i="19"/>
  <c r="A104" i="19"/>
  <c r="A105" i="19" s="1"/>
  <c r="A115" i="19"/>
  <c r="A116" i="19" s="1"/>
  <c r="A117" i="19" s="1"/>
  <c r="A118" i="19" s="1"/>
  <c r="A119" i="19" s="1"/>
  <c r="A120" i="19" s="1"/>
  <c r="R115" i="19"/>
  <c r="R122" i="19"/>
  <c r="R124" i="19"/>
  <c r="B136" i="19"/>
  <c r="B197" i="19" s="1"/>
  <c r="B281" i="19" s="1"/>
  <c r="T149" i="19"/>
  <c r="T167" i="19"/>
  <c r="T168" i="19"/>
  <c r="T182" i="19"/>
  <c r="R202" i="19"/>
  <c r="P257" i="19"/>
  <c r="Q248" i="19" s="1"/>
  <c r="R257" i="19"/>
  <c r="S254" i="19" s="1"/>
  <c r="P245" i="19"/>
  <c r="Q242" i="19" s="1"/>
  <c r="R245" i="19"/>
  <c r="P269" i="19"/>
  <c r="Q269" i="19"/>
  <c r="R269" i="19"/>
  <c r="S269" i="19"/>
  <c r="T113" i="18"/>
  <c r="T111" i="18"/>
  <c r="T108" i="18"/>
  <c r="T105" i="18"/>
  <c r="T92" i="18"/>
  <c r="T91" i="18"/>
  <c r="Q181" i="18"/>
  <c r="R90" i="18"/>
  <c r="R97" i="18" s="1"/>
  <c r="P69" i="18"/>
  <c r="N69" i="18"/>
  <c r="N72" i="18" s="1"/>
  <c r="N44" i="18"/>
  <c r="J44" i="18"/>
  <c r="F44" i="18"/>
  <c r="T112" i="17"/>
  <c r="T110" i="17"/>
  <c r="D32" i="18"/>
  <c r="D33" i="18"/>
  <c r="F33" i="18"/>
  <c r="H33" i="18"/>
  <c r="J33" i="18"/>
  <c r="L33" i="18"/>
  <c r="N33" i="18"/>
  <c r="P33" i="18"/>
  <c r="T34" i="18"/>
  <c r="T140" i="18" s="1"/>
  <c r="D35" i="18"/>
  <c r="F36" i="18"/>
  <c r="F35" i="18" s="1"/>
  <c r="H36" i="18"/>
  <c r="H35" i="18" s="1"/>
  <c r="J36" i="18"/>
  <c r="L36" i="18"/>
  <c r="L35" i="18" s="1"/>
  <c r="N36" i="18"/>
  <c r="N35" i="18" s="1"/>
  <c r="P36" i="18"/>
  <c r="P35" i="18" s="1"/>
  <c r="D36" i="18"/>
  <c r="F43" i="18"/>
  <c r="J43" i="18"/>
  <c r="N43" i="18"/>
  <c r="T50" i="18"/>
  <c r="P57" i="18"/>
  <c r="P58" i="18"/>
  <c r="J72" i="18"/>
  <c r="J85" i="18" s="1"/>
  <c r="L72" i="18"/>
  <c r="L85" i="18" s="1"/>
  <c r="R72" i="18"/>
  <c r="T82" i="18"/>
  <c r="T83" i="18"/>
  <c r="L88" i="18"/>
  <c r="R98" i="18"/>
  <c r="R99" i="18"/>
  <c r="A104" i="18"/>
  <c r="A105" i="18" s="1"/>
  <c r="A115" i="18"/>
  <c r="A116" i="18" s="1"/>
  <c r="A117" i="18" s="1"/>
  <c r="A118" i="18" s="1"/>
  <c r="A119" i="18" s="1"/>
  <c r="A120" i="18" s="1"/>
  <c r="R115" i="18"/>
  <c r="R122" i="18"/>
  <c r="B136" i="18"/>
  <c r="B196" i="18" s="1"/>
  <c r="B280" i="18" s="1"/>
  <c r="T149" i="18"/>
  <c r="T167" i="18"/>
  <c r="T168" i="18"/>
  <c r="Q179" i="1"/>
  <c r="Q181" i="14"/>
  <c r="T181" i="14" s="1"/>
  <c r="Q181" i="15"/>
  <c r="Q181" i="16"/>
  <c r="T181" i="16" s="1"/>
  <c r="R179" i="1"/>
  <c r="R201" i="18"/>
  <c r="P256" i="18"/>
  <c r="Q247" i="18" s="1"/>
  <c r="R256" i="18"/>
  <c r="S247" i="18" s="1"/>
  <c r="P244" i="18"/>
  <c r="R244" i="18"/>
  <c r="S235" i="18" s="1"/>
  <c r="P268" i="18"/>
  <c r="Q268" i="18"/>
  <c r="R268" i="18"/>
  <c r="S268" i="18"/>
  <c r="N69" i="17"/>
  <c r="R211" i="17" s="1"/>
  <c r="T91" i="17"/>
  <c r="T92" i="17"/>
  <c r="T105" i="17"/>
  <c r="T108" i="17"/>
  <c r="Q181" i="17"/>
  <c r="R90" i="17"/>
  <c r="P69" i="17"/>
  <c r="P72" i="17" s="1"/>
  <c r="J44" i="17"/>
  <c r="J43" i="17"/>
  <c r="N44" i="17"/>
  <c r="F44" i="17"/>
  <c r="D32" i="17"/>
  <c r="D33" i="17"/>
  <c r="F33" i="17"/>
  <c r="H33" i="17"/>
  <c r="J33" i="17"/>
  <c r="L33" i="17"/>
  <c r="N33" i="17"/>
  <c r="P33" i="17"/>
  <c r="T34" i="17"/>
  <c r="D35" i="17"/>
  <c r="F36" i="17"/>
  <c r="F35" i="17" s="1"/>
  <c r="H36" i="17"/>
  <c r="H35" i="17" s="1"/>
  <c r="J36" i="17"/>
  <c r="L36" i="17"/>
  <c r="L35" i="17" s="1"/>
  <c r="N36" i="17"/>
  <c r="N35" i="17" s="1"/>
  <c r="P36" i="17"/>
  <c r="P35" i="17" s="1"/>
  <c r="D36" i="17"/>
  <c r="F43" i="17"/>
  <c r="N43" i="17"/>
  <c r="T50" i="17"/>
  <c r="P57" i="17"/>
  <c r="P58" i="17"/>
  <c r="J72" i="17"/>
  <c r="J85" i="17" s="1"/>
  <c r="L72" i="17"/>
  <c r="L85" i="17" s="1"/>
  <c r="R72" i="17"/>
  <c r="T82" i="17"/>
  <c r="T83" i="17"/>
  <c r="L88" i="17"/>
  <c r="R97" i="17"/>
  <c r="R99" i="17"/>
  <c r="R98" i="17"/>
  <c r="A104" i="17"/>
  <c r="A105" i="17" s="1"/>
  <c r="A115" i="17"/>
  <c r="A116" i="17" s="1"/>
  <c r="A117" i="17" s="1"/>
  <c r="A118" i="17" s="1"/>
  <c r="A119" i="17" s="1"/>
  <c r="A120" i="17" s="1"/>
  <c r="R115" i="17"/>
  <c r="R122" i="17"/>
  <c r="B136" i="17"/>
  <c r="B196" i="17" s="1"/>
  <c r="B280" i="17" s="1"/>
  <c r="T149" i="17"/>
  <c r="T167" i="17"/>
  <c r="T168" i="17"/>
  <c r="R201" i="17"/>
  <c r="P256" i="17"/>
  <c r="Q251" i="17" s="1"/>
  <c r="R256" i="17"/>
  <c r="S253" i="17" s="1"/>
  <c r="P244" i="17"/>
  <c r="R244" i="17"/>
  <c r="S242" i="17" s="1"/>
  <c r="P268" i="17"/>
  <c r="P270" i="17" s="1"/>
  <c r="Q268" i="17"/>
  <c r="R268" i="17"/>
  <c r="S268" i="17"/>
  <c r="T91" i="9"/>
  <c r="N69" i="16"/>
  <c r="N72" i="16" s="1"/>
  <c r="T112" i="16"/>
  <c r="T110" i="16"/>
  <c r="T111" i="16"/>
  <c r="T108" i="16"/>
  <c r="T106" i="16"/>
  <c r="T105" i="16"/>
  <c r="T92" i="16"/>
  <c r="T91" i="16"/>
  <c r="R90" i="16"/>
  <c r="R97" i="16" s="1"/>
  <c r="P69" i="16"/>
  <c r="P72" i="16" s="1"/>
  <c r="N44" i="16"/>
  <c r="F44" i="16"/>
  <c r="D32" i="16"/>
  <c r="D33" i="16"/>
  <c r="F33" i="16"/>
  <c r="H33" i="16"/>
  <c r="J33" i="16"/>
  <c r="L33" i="16"/>
  <c r="N33" i="16"/>
  <c r="P33" i="16"/>
  <c r="T34" i="16"/>
  <c r="D35" i="16"/>
  <c r="F36" i="16"/>
  <c r="F35" i="16" s="1"/>
  <c r="H36" i="16"/>
  <c r="H35" i="16" s="1"/>
  <c r="J36" i="16"/>
  <c r="J35" i="16" s="1"/>
  <c r="L36" i="16"/>
  <c r="L35" i="16" s="1"/>
  <c r="N36" i="16"/>
  <c r="N35" i="16" s="1"/>
  <c r="P36" i="16"/>
  <c r="P35" i="16" s="1"/>
  <c r="F43" i="16"/>
  <c r="N43" i="16"/>
  <c r="D36" i="16"/>
  <c r="T50" i="16"/>
  <c r="P57" i="16"/>
  <c r="P58" i="16"/>
  <c r="J72" i="16"/>
  <c r="J85" i="16" s="1"/>
  <c r="L72" i="16"/>
  <c r="L85" i="16" s="1"/>
  <c r="R72" i="16"/>
  <c r="T82" i="16"/>
  <c r="T83" i="16"/>
  <c r="L88" i="16"/>
  <c r="R98" i="16"/>
  <c r="R99" i="16"/>
  <c r="A104" i="16"/>
  <c r="A105" i="16" s="1"/>
  <c r="A115" i="16"/>
  <c r="A116" i="16" s="1"/>
  <c r="A117" i="16" s="1"/>
  <c r="A118" i="16" s="1"/>
  <c r="A119" i="16" s="1"/>
  <c r="A120" i="16" s="1"/>
  <c r="R115" i="16"/>
  <c r="R122" i="16"/>
  <c r="B136" i="16"/>
  <c r="B196" i="16" s="1"/>
  <c r="B280" i="16" s="1"/>
  <c r="T149" i="16"/>
  <c r="T167" i="16"/>
  <c r="T168" i="16"/>
  <c r="T169" i="16" s="1"/>
  <c r="R201" i="16"/>
  <c r="P256" i="16"/>
  <c r="Q249" i="16" s="1"/>
  <c r="R256" i="16"/>
  <c r="P244" i="16"/>
  <c r="Q241" i="16" s="1"/>
  <c r="R244" i="16"/>
  <c r="S242" i="16" s="1"/>
  <c r="Q250" i="16"/>
  <c r="P268" i="16"/>
  <c r="Q268" i="16"/>
  <c r="R268" i="16"/>
  <c r="S268" i="16"/>
  <c r="N69" i="15"/>
  <c r="T113" i="15"/>
  <c r="T111" i="15"/>
  <c r="T108" i="15"/>
  <c r="T105" i="15"/>
  <c r="T92" i="15"/>
  <c r="T91" i="15"/>
  <c r="R90" i="15"/>
  <c r="R97" i="15" s="1"/>
  <c r="P69" i="15"/>
  <c r="N44" i="15"/>
  <c r="J44" i="15"/>
  <c r="F44" i="15"/>
  <c r="D32" i="15"/>
  <c r="D33" i="15"/>
  <c r="F33" i="15"/>
  <c r="H33" i="15"/>
  <c r="J33" i="15"/>
  <c r="L33" i="15"/>
  <c r="N33" i="15"/>
  <c r="P33" i="15"/>
  <c r="T34" i="15"/>
  <c r="Q179" i="15" s="1"/>
  <c r="D35" i="15"/>
  <c r="F36" i="15"/>
  <c r="F35" i="15" s="1"/>
  <c r="H36" i="15"/>
  <c r="J36" i="15"/>
  <c r="J35" i="15" s="1"/>
  <c r="L36" i="15"/>
  <c r="L35" i="15" s="1"/>
  <c r="N36" i="15"/>
  <c r="N35" i="15" s="1"/>
  <c r="P36" i="15"/>
  <c r="D36" i="15"/>
  <c r="F43" i="15"/>
  <c r="N43" i="15"/>
  <c r="T50" i="15"/>
  <c r="P57" i="15"/>
  <c r="P58" i="15"/>
  <c r="J72" i="15"/>
  <c r="J85" i="15" s="1"/>
  <c r="L72" i="15"/>
  <c r="L85" i="15" s="1"/>
  <c r="R72" i="15"/>
  <c r="T82" i="15"/>
  <c r="T83" i="15"/>
  <c r="L88" i="15"/>
  <c r="R98" i="15"/>
  <c r="R99" i="15"/>
  <c r="A104" i="15"/>
  <c r="A105" i="15" s="1"/>
  <c r="A115" i="15"/>
  <c r="A116" i="15" s="1"/>
  <c r="A117" i="15" s="1"/>
  <c r="A118" i="15" s="1"/>
  <c r="A119" i="15" s="1"/>
  <c r="A120" i="15" s="1"/>
  <c r="R115" i="15"/>
  <c r="R122" i="15"/>
  <c r="B136" i="15"/>
  <c r="B196" i="15" s="1"/>
  <c r="B280" i="15" s="1"/>
  <c r="T149" i="15"/>
  <c r="T167" i="15"/>
  <c r="T168" i="15"/>
  <c r="R201" i="15"/>
  <c r="P256" i="15"/>
  <c r="Q216" i="15" s="1"/>
  <c r="R256" i="15"/>
  <c r="S251" i="15" s="1"/>
  <c r="P244" i="15"/>
  <c r="Q239" i="15" s="1"/>
  <c r="R244" i="15"/>
  <c r="S237" i="15" s="1"/>
  <c r="P268" i="15"/>
  <c r="Q268" i="15"/>
  <c r="R268" i="15"/>
  <c r="S268" i="15"/>
  <c r="N69" i="14"/>
  <c r="T113" i="14"/>
  <c r="T111" i="14"/>
  <c r="T108" i="14"/>
  <c r="T105" i="14"/>
  <c r="T92" i="14"/>
  <c r="T91" i="14"/>
  <c r="R90" i="14"/>
  <c r="R97" i="14" s="1"/>
  <c r="P69" i="14"/>
  <c r="P72" i="14" s="1"/>
  <c r="N44" i="14"/>
  <c r="J44" i="14"/>
  <c r="F44" i="14"/>
  <c r="D32" i="14"/>
  <c r="D33" i="14"/>
  <c r="F33" i="14"/>
  <c r="H33" i="14"/>
  <c r="J33" i="14"/>
  <c r="L33" i="14"/>
  <c r="N33" i="14"/>
  <c r="P33" i="14"/>
  <c r="T34" i="14"/>
  <c r="D35" i="14"/>
  <c r="F36" i="14"/>
  <c r="F35" i="14" s="1"/>
  <c r="H36" i="14"/>
  <c r="H35" i="14" s="1"/>
  <c r="J36" i="14"/>
  <c r="J35" i="14" s="1"/>
  <c r="L36" i="14"/>
  <c r="N36" i="14"/>
  <c r="N35" i="14" s="1"/>
  <c r="P36" i="14"/>
  <c r="P35" i="14" s="1"/>
  <c r="D36" i="14"/>
  <c r="F43" i="14"/>
  <c r="J43" i="14"/>
  <c r="N43" i="14"/>
  <c r="T50" i="14"/>
  <c r="P57" i="14"/>
  <c r="P58" i="14"/>
  <c r="J72" i="14"/>
  <c r="J85" i="14" s="1"/>
  <c r="L72" i="14"/>
  <c r="L85" i="14" s="1"/>
  <c r="R72" i="14"/>
  <c r="T82" i="14"/>
  <c r="T83" i="14"/>
  <c r="L88" i="14"/>
  <c r="R98" i="14"/>
  <c r="R99" i="14"/>
  <c r="A104" i="14"/>
  <c r="A105" i="14" s="1"/>
  <c r="A115" i="14"/>
  <c r="A116" i="14" s="1"/>
  <c r="A117" i="14" s="1"/>
  <c r="A118" i="14" s="1"/>
  <c r="A119" i="14" s="1"/>
  <c r="A120" i="14" s="1"/>
  <c r="R115" i="14"/>
  <c r="R122" i="14"/>
  <c r="B136" i="14"/>
  <c r="B196" i="14" s="1"/>
  <c r="B280" i="14" s="1"/>
  <c r="T149" i="14"/>
  <c r="T167" i="14"/>
  <c r="T168" i="14"/>
  <c r="T169" i="14" s="1"/>
  <c r="R201" i="14"/>
  <c r="P256" i="14"/>
  <c r="R256" i="14"/>
  <c r="S254" i="14" s="1"/>
  <c r="P244" i="14"/>
  <c r="Q235" i="14" s="1"/>
  <c r="R244" i="14"/>
  <c r="P268" i="14"/>
  <c r="Q268" i="14"/>
  <c r="R268" i="14"/>
  <c r="S268" i="14"/>
  <c r="P256" i="10"/>
  <c r="T105" i="10"/>
  <c r="T91" i="10"/>
  <c r="T92" i="10"/>
  <c r="P69" i="10"/>
  <c r="P72" i="10" s="1"/>
  <c r="N69" i="10"/>
  <c r="N44" i="10"/>
  <c r="J44" i="10"/>
  <c r="F44" i="10"/>
  <c r="D32" i="10"/>
  <c r="D33" i="10"/>
  <c r="F33" i="10"/>
  <c r="H33" i="10"/>
  <c r="J33" i="10"/>
  <c r="L33" i="10"/>
  <c r="N33" i="10"/>
  <c r="P33" i="10"/>
  <c r="T34" i="10"/>
  <c r="D35" i="10"/>
  <c r="F36" i="10"/>
  <c r="F35" i="10" s="1"/>
  <c r="H36" i="10"/>
  <c r="H35" i="10" s="1"/>
  <c r="J36" i="10"/>
  <c r="L36" i="10"/>
  <c r="L35" i="10" s="1"/>
  <c r="N36" i="10"/>
  <c r="N35" i="10" s="1"/>
  <c r="P36" i="10"/>
  <c r="P35" i="10" s="1"/>
  <c r="F43" i="10"/>
  <c r="J43" i="10"/>
  <c r="N43" i="10"/>
  <c r="D36" i="10"/>
  <c r="T50" i="10"/>
  <c r="P57" i="10"/>
  <c r="P58" i="10"/>
  <c r="J72" i="10"/>
  <c r="J85" i="10" s="1"/>
  <c r="L72" i="10"/>
  <c r="L85" i="10" s="1"/>
  <c r="R72" i="10"/>
  <c r="T82" i="10"/>
  <c r="T83" i="10"/>
  <c r="L88" i="10"/>
  <c r="R97" i="10"/>
  <c r="R98" i="10"/>
  <c r="R99" i="10"/>
  <c r="A104" i="10"/>
  <c r="A105" i="10" s="1"/>
  <c r="A115" i="10"/>
  <c r="A116" i="10" s="1"/>
  <c r="A117" i="10" s="1"/>
  <c r="A118" i="10" s="1"/>
  <c r="A119" i="10" s="1"/>
  <c r="A120" i="10" s="1"/>
  <c r="R115" i="10"/>
  <c r="R122" i="10"/>
  <c r="R124" i="10"/>
  <c r="B136" i="10"/>
  <c r="B196" i="10" s="1"/>
  <c r="B280" i="10" s="1"/>
  <c r="T149" i="10"/>
  <c r="T167" i="10"/>
  <c r="T168" i="10"/>
  <c r="T181" i="10"/>
  <c r="R201" i="10"/>
  <c r="R256" i="10"/>
  <c r="S253" i="10" s="1"/>
  <c r="P244" i="10"/>
  <c r="R244" i="10"/>
  <c r="S237" i="10" s="1"/>
  <c r="P268" i="10"/>
  <c r="Q268" i="10"/>
  <c r="R268" i="10"/>
  <c r="S268" i="10"/>
  <c r="N69" i="9"/>
  <c r="T105" i="9"/>
  <c r="T94" i="9"/>
  <c r="T92" i="9"/>
  <c r="R90" i="9"/>
  <c r="R97" i="9" s="1"/>
  <c r="P69" i="9"/>
  <c r="N44" i="9"/>
  <c r="N43" i="9"/>
  <c r="J44" i="9"/>
  <c r="J43" i="9"/>
  <c r="F44" i="9"/>
  <c r="F43" i="9"/>
  <c r="D32" i="9"/>
  <c r="D33" i="9"/>
  <c r="F33" i="9"/>
  <c r="H33" i="9"/>
  <c r="J33" i="9"/>
  <c r="L33" i="9"/>
  <c r="N33" i="9"/>
  <c r="P33" i="9"/>
  <c r="T34" i="9"/>
  <c r="D35" i="9"/>
  <c r="F36" i="9"/>
  <c r="F35" i="9" s="1"/>
  <c r="H36" i="9"/>
  <c r="H35" i="9" s="1"/>
  <c r="J36" i="9"/>
  <c r="J35" i="9" s="1"/>
  <c r="L36" i="9"/>
  <c r="N36" i="9"/>
  <c r="N35" i="9" s="1"/>
  <c r="P36" i="9"/>
  <c r="P35" i="9" s="1"/>
  <c r="D36" i="9"/>
  <c r="T50" i="9"/>
  <c r="P57" i="9"/>
  <c r="P58" i="9"/>
  <c r="T82" i="9"/>
  <c r="T83" i="9"/>
  <c r="J72" i="9"/>
  <c r="J85" i="9" s="1"/>
  <c r="L72" i="9"/>
  <c r="L85" i="9" s="1"/>
  <c r="R72" i="9"/>
  <c r="L88" i="9"/>
  <c r="R98" i="9"/>
  <c r="R99" i="9"/>
  <c r="A104" i="9"/>
  <c r="A105" i="9" s="1"/>
  <c r="A115" i="9"/>
  <c r="A116" i="9" s="1"/>
  <c r="A117" i="9" s="1"/>
  <c r="A118" i="9" s="1"/>
  <c r="A119" i="9" s="1"/>
  <c r="A120" i="9" s="1"/>
  <c r="R115" i="9"/>
  <c r="R122" i="9"/>
  <c r="R124" i="9"/>
  <c r="B136" i="9"/>
  <c r="B196" i="9" s="1"/>
  <c r="B280" i="9" s="1"/>
  <c r="T149" i="9"/>
  <c r="T167" i="9"/>
  <c r="T168" i="9"/>
  <c r="T181" i="9"/>
  <c r="R201" i="9"/>
  <c r="P256" i="9"/>
  <c r="Q248" i="9" s="1"/>
  <c r="R256" i="9"/>
  <c r="P244" i="9"/>
  <c r="R244" i="9"/>
  <c r="S240" i="9" s="1"/>
  <c r="P268" i="9"/>
  <c r="Q268" i="9"/>
  <c r="R268" i="9"/>
  <c r="S268" i="9"/>
  <c r="T105" i="8"/>
  <c r="T92" i="8"/>
  <c r="T91" i="8"/>
  <c r="R90" i="8"/>
  <c r="R97" i="8" s="1"/>
  <c r="P69" i="8"/>
  <c r="P72" i="8" s="1"/>
  <c r="N69" i="8"/>
  <c r="N44" i="8"/>
  <c r="J44" i="8"/>
  <c r="F44" i="8"/>
  <c r="D32" i="8"/>
  <c r="D33" i="8"/>
  <c r="F33" i="8"/>
  <c r="H33" i="8"/>
  <c r="J33" i="8"/>
  <c r="L33" i="8"/>
  <c r="N33" i="8"/>
  <c r="P33" i="8"/>
  <c r="T34" i="8"/>
  <c r="D35" i="8"/>
  <c r="F36" i="8"/>
  <c r="F35" i="8" s="1"/>
  <c r="H36" i="8"/>
  <c r="J36" i="8"/>
  <c r="J35" i="8" s="1"/>
  <c r="L36" i="8"/>
  <c r="L35" i="8" s="1"/>
  <c r="N36" i="8"/>
  <c r="N35" i="8" s="1"/>
  <c r="P36" i="8"/>
  <c r="P35" i="8" s="1"/>
  <c r="D36" i="8"/>
  <c r="T50" i="8"/>
  <c r="P57" i="8"/>
  <c r="P58" i="8"/>
  <c r="J72" i="8"/>
  <c r="J85" i="8" s="1"/>
  <c r="L72" i="8"/>
  <c r="L85" i="8" s="1"/>
  <c r="R72" i="8"/>
  <c r="T82" i="8"/>
  <c r="T83" i="8"/>
  <c r="L88" i="8"/>
  <c r="R98" i="8"/>
  <c r="R99" i="8"/>
  <c r="R101" i="8" s="1"/>
  <c r="R122" i="8"/>
  <c r="R124" i="8"/>
  <c r="R115" i="8"/>
  <c r="A104" i="8"/>
  <c r="A105" i="8" s="1"/>
  <c r="A115" i="8"/>
  <c r="A116" i="8" s="1"/>
  <c r="A117" i="8" s="1"/>
  <c r="A118" i="8" s="1"/>
  <c r="A119" i="8" s="1"/>
  <c r="A120" i="8" s="1"/>
  <c r="B136" i="8"/>
  <c r="B196" i="8" s="1"/>
  <c r="B280" i="8" s="1"/>
  <c r="T149" i="8"/>
  <c r="T167" i="8"/>
  <c r="T168" i="8"/>
  <c r="T181" i="8"/>
  <c r="R201" i="8"/>
  <c r="P256" i="8"/>
  <c r="R256" i="8"/>
  <c r="S249" i="8" s="1"/>
  <c r="P244" i="8"/>
  <c r="Q240" i="8" s="1"/>
  <c r="R244" i="8"/>
  <c r="S240" i="8" s="1"/>
  <c r="P268" i="8"/>
  <c r="Q268" i="8"/>
  <c r="R268" i="8"/>
  <c r="S268" i="8"/>
  <c r="R97" i="5"/>
  <c r="R99" i="5"/>
  <c r="R121" i="5"/>
  <c r="R123" i="5"/>
  <c r="R90" i="6"/>
  <c r="R97" i="6" s="1"/>
  <c r="R99" i="6"/>
  <c r="R98" i="6"/>
  <c r="R121" i="6"/>
  <c r="R123" i="6"/>
  <c r="R131" i="6" s="1"/>
  <c r="R114" i="6"/>
  <c r="R97" i="7"/>
  <c r="R99" i="7"/>
  <c r="R98" i="7"/>
  <c r="R121" i="7"/>
  <c r="R123" i="7"/>
  <c r="R114" i="7"/>
  <c r="T104" i="7"/>
  <c r="T92" i="7"/>
  <c r="T91" i="7"/>
  <c r="P69" i="7"/>
  <c r="N69" i="7"/>
  <c r="N44" i="7"/>
  <c r="J44" i="7"/>
  <c r="F44" i="7"/>
  <c r="D32" i="7"/>
  <c r="D33" i="7"/>
  <c r="F33" i="7"/>
  <c r="H33" i="7"/>
  <c r="J33" i="7"/>
  <c r="L33" i="7"/>
  <c r="N33" i="7"/>
  <c r="P33" i="7"/>
  <c r="T34" i="7"/>
  <c r="T52" i="7" s="1"/>
  <c r="D35" i="7"/>
  <c r="F36" i="7"/>
  <c r="F35" i="7" s="1"/>
  <c r="H36" i="7"/>
  <c r="H35" i="7" s="1"/>
  <c r="J36" i="7"/>
  <c r="L36" i="7"/>
  <c r="L35" i="7" s="1"/>
  <c r="N36" i="7"/>
  <c r="N35" i="7" s="1"/>
  <c r="P36" i="7"/>
  <c r="P35" i="7" s="1"/>
  <c r="F43" i="7"/>
  <c r="J43" i="7"/>
  <c r="N43" i="7"/>
  <c r="D36" i="7"/>
  <c r="T50" i="7"/>
  <c r="P57" i="7"/>
  <c r="P58" i="7"/>
  <c r="J72" i="7"/>
  <c r="J85" i="7" s="1"/>
  <c r="L72" i="7"/>
  <c r="L85" i="7" s="1"/>
  <c r="R72" i="7"/>
  <c r="T82" i="7"/>
  <c r="T83" i="7"/>
  <c r="L88" i="7"/>
  <c r="A103" i="7"/>
  <c r="A104" i="7" s="1"/>
  <c r="A114" i="7"/>
  <c r="A115" i="7" s="1"/>
  <c r="A116" i="7" s="1"/>
  <c r="A117" i="7" s="1"/>
  <c r="A118" i="7" s="1"/>
  <c r="A119" i="7" s="1"/>
  <c r="B135" i="7"/>
  <c r="B195" i="7" s="1"/>
  <c r="B279" i="7" s="1"/>
  <c r="T148" i="7"/>
  <c r="T166" i="7"/>
  <c r="T167" i="7"/>
  <c r="T180" i="7"/>
  <c r="R200" i="7"/>
  <c r="P255" i="7"/>
  <c r="R255" i="7"/>
  <c r="P243" i="7"/>
  <c r="R243" i="7"/>
  <c r="S239" i="7" s="1"/>
  <c r="P267" i="7"/>
  <c r="Q267" i="7"/>
  <c r="R267" i="7"/>
  <c r="S267" i="7"/>
  <c r="T107" i="6"/>
  <c r="T104" i="6"/>
  <c r="T91" i="6"/>
  <c r="T92" i="6"/>
  <c r="N69" i="6"/>
  <c r="P69" i="6"/>
  <c r="N44" i="6"/>
  <c r="J44" i="6"/>
  <c r="F44" i="6"/>
  <c r="R243" i="6"/>
  <c r="D33" i="6"/>
  <c r="F33" i="6"/>
  <c r="H33" i="6"/>
  <c r="J33" i="6"/>
  <c r="L33" i="6"/>
  <c r="N33" i="6"/>
  <c r="P33" i="6"/>
  <c r="T34" i="6"/>
  <c r="D35" i="6"/>
  <c r="F36" i="6"/>
  <c r="F35" i="6" s="1"/>
  <c r="H36" i="6"/>
  <c r="H35" i="6" s="1"/>
  <c r="J36" i="6"/>
  <c r="L36" i="6"/>
  <c r="L35" i="6" s="1"/>
  <c r="N36" i="6"/>
  <c r="N35" i="6" s="1"/>
  <c r="P36" i="6"/>
  <c r="P35" i="6" s="1"/>
  <c r="D36" i="6"/>
  <c r="F43" i="6"/>
  <c r="J43" i="6"/>
  <c r="N43" i="6"/>
  <c r="T50" i="6"/>
  <c r="P57" i="6"/>
  <c r="P58" i="6"/>
  <c r="J72" i="6"/>
  <c r="J85" i="6" s="1"/>
  <c r="L72" i="6"/>
  <c r="L85" i="6" s="1"/>
  <c r="R72" i="6"/>
  <c r="T82" i="6"/>
  <c r="T83" i="6"/>
  <c r="L88" i="6"/>
  <c r="A103" i="6"/>
  <c r="A104" i="6" s="1"/>
  <c r="A114" i="6"/>
  <c r="A115" i="6" s="1"/>
  <c r="A116" i="6" s="1"/>
  <c r="A117" i="6" s="1"/>
  <c r="A118" i="6" s="1"/>
  <c r="A119" i="6" s="1"/>
  <c r="B135" i="6"/>
  <c r="B195" i="6" s="1"/>
  <c r="B278" i="6" s="1"/>
  <c r="T148" i="6"/>
  <c r="T166" i="6"/>
  <c r="T167" i="6"/>
  <c r="T180" i="6"/>
  <c r="R200" i="6"/>
  <c r="P255" i="6"/>
  <c r="Q250" i="6" s="1"/>
  <c r="R255" i="6"/>
  <c r="S251" i="6" s="1"/>
  <c r="P243" i="6"/>
  <c r="Q240" i="6" s="1"/>
  <c r="Q253" i="6"/>
  <c r="P267" i="6"/>
  <c r="Q267" i="6"/>
  <c r="R267" i="6"/>
  <c r="S267" i="6"/>
  <c r="R218" i="1"/>
  <c r="R219" i="1" s="1"/>
  <c r="R219" i="2"/>
  <c r="R219" i="3"/>
  <c r="R219" i="4"/>
  <c r="Q220" i="2"/>
  <c r="Q220" i="3" s="1"/>
  <c r="Q220" i="4" s="1"/>
  <c r="T167" i="5"/>
  <c r="P69" i="5"/>
  <c r="P72" i="5" s="1"/>
  <c r="N69" i="5"/>
  <c r="R210" i="5" s="1"/>
  <c r="D36" i="5"/>
  <c r="T107" i="5"/>
  <c r="T104" i="5"/>
  <c r="T92" i="5"/>
  <c r="T91" i="5"/>
  <c r="R114" i="5"/>
  <c r="N44" i="5"/>
  <c r="J44" i="5"/>
  <c r="F44" i="5"/>
  <c r="D33" i="5"/>
  <c r="F33" i="5"/>
  <c r="H33" i="5"/>
  <c r="J33" i="5"/>
  <c r="L33" i="5"/>
  <c r="N33" i="5"/>
  <c r="P33" i="5"/>
  <c r="T34" i="5"/>
  <c r="D35" i="5"/>
  <c r="F36" i="5"/>
  <c r="F35" i="5" s="1"/>
  <c r="H36" i="5"/>
  <c r="H35" i="5" s="1"/>
  <c r="J36" i="5"/>
  <c r="J35" i="5" s="1"/>
  <c r="L36" i="5"/>
  <c r="L35" i="5" s="1"/>
  <c r="N36" i="5"/>
  <c r="N35" i="5" s="1"/>
  <c r="P36" i="5"/>
  <c r="F43" i="5"/>
  <c r="J43" i="5"/>
  <c r="N43" i="5"/>
  <c r="T50" i="5"/>
  <c r="P57" i="5"/>
  <c r="P58" i="5"/>
  <c r="J72" i="5"/>
  <c r="J85" i="5" s="1"/>
  <c r="L72" i="5"/>
  <c r="L85" i="5" s="1"/>
  <c r="R72" i="5"/>
  <c r="T82" i="5"/>
  <c r="T83" i="5"/>
  <c r="L88" i="5"/>
  <c r="A103" i="5"/>
  <c r="A104" i="5" s="1"/>
  <c r="A114" i="5"/>
  <c r="A115" i="5" s="1"/>
  <c r="A116" i="5" s="1"/>
  <c r="A117" i="5" s="1"/>
  <c r="A118" i="5" s="1"/>
  <c r="A119" i="5" s="1"/>
  <c r="B135" i="5"/>
  <c r="B195" i="5" s="1"/>
  <c r="B279" i="5" s="1"/>
  <c r="T148" i="5"/>
  <c r="T166" i="5"/>
  <c r="T180" i="5"/>
  <c r="R200" i="5"/>
  <c r="P256" i="5"/>
  <c r="Q253" i="5" s="1"/>
  <c r="R256" i="5"/>
  <c r="P244" i="5"/>
  <c r="Q241" i="5" s="1"/>
  <c r="R244" i="5"/>
  <c r="P268" i="5"/>
  <c r="Q268" i="5"/>
  <c r="R268" i="5"/>
  <c r="S268" i="5"/>
  <c r="T34" i="1"/>
  <c r="D36" i="4"/>
  <c r="T147" i="4"/>
  <c r="T147" i="2"/>
  <c r="T147" i="3"/>
  <c r="T91" i="4"/>
  <c r="T106" i="4"/>
  <c r="T103" i="4"/>
  <c r="T92" i="4"/>
  <c r="N69" i="4"/>
  <c r="P69" i="4"/>
  <c r="N43" i="4"/>
  <c r="J43" i="4"/>
  <c r="F43" i="4"/>
  <c r="T91" i="1"/>
  <c r="T92" i="1"/>
  <c r="L72" i="1"/>
  <c r="L85" i="1" s="1"/>
  <c r="T91" i="2"/>
  <c r="T92" i="2"/>
  <c r="T91" i="3"/>
  <c r="T92" i="3"/>
  <c r="D33" i="4"/>
  <c r="F33" i="4"/>
  <c r="H33" i="4"/>
  <c r="J33" i="4"/>
  <c r="L33" i="4"/>
  <c r="N33" i="4"/>
  <c r="P33" i="4"/>
  <c r="T34" i="4"/>
  <c r="D35" i="4"/>
  <c r="F36" i="4"/>
  <c r="F35" i="4" s="1"/>
  <c r="H36" i="4"/>
  <c r="H35" i="4" s="1"/>
  <c r="J36" i="4"/>
  <c r="J35" i="4" s="1"/>
  <c r="L36" i="4"/>
  <c r="L35" i="4" s="1"/>
  <c r="N36" i="4"/>
  <c r="N35" i="4" s="1"/>
  <c r="P36" i="4"/>
  <c r="P35" i="4" s="1"/>
  <c r="T50" i="4"/>
  <c r="P57" i="4"/>
  <c r="P58" i="4"/>
  <c r="J72" i="4"/>
  <c r="J85" i="4" s="1"/>
  <c r="L72" i="4"/>
  <c r="L85" i="4" s="1"/>
  <c r="R72" i="4"/>
  <c r="T82" i="4"/>
  <c r="T83" i="4"/>
  <c r="L88" i="4"/>
  <c r="R96" i="4"/>
  <c r="R98" i="4"/>
  <c r="A102" i="4"/>
  <c r="A103" i="4" s="1"/>
  <c r="A113" i="4"/>
  <c r="A114" i="4" s="1"/>
  <c r="A115" i="4" s="1"/>
  <c r="A116" i="4" s="1"/>
  <c r="A117" i="4" s="1"/>
  <c r="A118" i="4" s="1"/>
  <c r="R120" i="4"/>
  <c r="R122" i="4"/>
  <c r="B134" i="4"/>
  <c r="B194" i="4" s="1"/>
  <c r="B278" i="4" s="1"/>
  <c r="T165" i="4"/>
  <c r="T166" i="4"/>
  <c r="T179" i="4"/>
  <c r="R199" i="4"/>
  <c r="P255" i="4"/>
  <c r="Q214" i="4" s="1"/>
  <c r="R255" i="4"/>
  <c r="S248" i="4" s="1"/>
  <c r="P243" i="4"/>
  <c r="Q234" i="4" s="1"/>
  <c r="R243" i="4"/>
  <c r="S241" i="4" s="1"/>
  <c r="Q246" i="4"/>
  <c r="P267" i="4"/>
  <c r="Q267" i="4"/>
  <c r="R267" i="4"/>
  <c r="S267" i="4"/>
  <c r="N69" i="3"/>
  <c r="N72" i="3" s="1"/>
  <c r="D36" i="3"/>
  <c r="F36" i="3"/>
  <c r="H36" i="3"/>
  <c r="H35" i="3" s="1"/>
  <c r="J36" i="3"/>
  <c r="L36" i="3"/>
  <c r="N36" i="3"/>
  <c r="P36" i="3"/>
  <c r="P35" i="3" s="1"/>
  <c r="T106" i="3"/>
  <c r="T103" i="3"/>
  <c r="T179" i="2"/>
  <c r="D33" i="3"/>
  <c r="F33" i="3"/>
  <c r="H33" i="3"/>
  <c r="J33" i="3"/>
  <c r="L33" i="3"/>
  <c r="N33" i="3"/>
  <c r="P33" i="3"/>
  <c r="T34" i="3"/>
  <c r="T52" i="3" s="1"/>
  <c r="D35" i="3"/>
  <c r="J35" i="3"/>
  <c r="T50" i="3"/>
  <c r="P57" i="3"/>
  <c r="P58" i="3"/>
  <c r="J72" i="3"/>
  <c r="J85" i="3" s="1"/>
  <c r="L72" i="3"/>
  <c r="L85" i="3" s="1"/>
  <c r="P72" i="3"/>
  <c r="R72" i="3"/>
  <c r="T82" i="3"/>
  <c r="T83" i="3"/>
  <c r="L88" i="3"/>
  <c r="R96" i="3"/>
  <c r="R97" i="3"/>
  <c r="R98" i="3"/>
  <c r="A102" i="3"/>
  <c r="A103" i="3" s="1"/>
  <c r="A113" i="3"/>
  <c r="A114" i="3" s="1"/>
  <c r="A115" i="3" s="1"/>
  <c r="A116" i="3" s="1"/>
  <c r="A117" i="3" s="1"/>
  <c r="A118" i="3" s="1"/>
  <c r="R120" i="3"/>
  <c r="R122" i="3"/>
  <c r="B134" i="3"/>
  <c r="B194" i="3" s="1"/>
  <c r="B278" i="3" s="1"/>
  <c r="T165" i="3"/>
  <c r="T166" i="3"/>
  <c r="T179" i="3"/>
  <c r="R199" i="3"/>
  <c r="P255" i="3"/>
  <c r="Q250" i="3" s="1"/>
  <c r="R255" i="3"/>
  <c r="S249" i="3" s="1"/>
  <c r="P243" i="3"/>
  <c r="R243" i="3"/>
  <c r="P267" i="3"/>
  <c r="Q267" i="3"/>
  <c r="R267" i="3"/>
  <c r="S267" i="3"/>
  <c r="P69" i="2"/>
  <c r="N69" i="2"/>
  <c r="R121" i="2"/>
  <c r="R120" i="2"/>
  <c r="R122" i="2"/>
  <c r="D35" i="2"/>
  <c r="F36" i="2"/>
  <c r="F35" i="2" s="1"/>
  <c r="H36" i="2"/>
  <c r="H35" i="2" s="1"/>
  <c r="J36" i="2"/>
  <c r="J35" i="2" s="1"/>
  <c r="L36" i="2"/>
  <c r="L35" i="2" s="1"/>
  <c r="N36" i="2"/>
  <c r="P36" i="2"/>
  <c r="P35" i="2" s="1"/>
  <c r="D36" i="2"/>
  <c r="T50" i="2"/>
  <c r="T106" i="2"/>
  <c r="T103" i="2"/>
  <c r="P57" i="2"/>
  <c r="D33" i="2"/>
  <c r="F33" i="2"/>
  <c r="H33" i="2"/>
  <c r="J33" i="2"/>
  <c r="L33" i="2"/>
  <c r="N33" i="2"/>
  <c r="P33" i="2"/>
  <c r="T34" i="2"/>
  <c r="P58" i="2"/>
  <c r="J72" i="2"/>
  <c r="J85" i="2" s="1"/>
  <c r="L72" i="2"/>
  <c r="L85" i="2" s="1"/>
  <c r="R72" i="2"/>
  <c r="T82" i="2"/>
  <c r="T83" i="2"/>
  <c r="L88" i="2"/>
  <c r="R96" i="2"/>
  <c r="R97" i="2"/>
  <c r="R98" i="2"/>
  <c r="A102" i="2"/>
  <c r="A103" i="2" s="1"/>
  <c r="A113" i="2"/>
  <c r="A114" i="2" s="1"/>
  <c r="A115" i="2" s="1"/>
  <c r="A116" i="2" s="1"/>
  <c r="A117" i="2" s="1"/>
  <c r="A118" i="2" s="1"/>
  <c r="B134" i="2"/>
  <c r="B194" i="2" s="1"/>
  <c r="B278" i="2" s="1"/>
  <c r="T165" i="2"/>
  <c r="T166" i="2"/>
  <c r="R199" i="2"/>
  <c r="P255" i="2"/>
  <c r="R255" i="2"/>
  <c r="S248" i="2" s="1"/>
  <c r="P243" i="2"/>
  <c r="Q234" i="2" s="1"/>
  <c r="R243" i="2"/>
  <c r="P267" i="2"/>
  <c r="Q267" i="2"/>
  <c r="R267" i="2"/>
  <c r="S267" i="2"/>
  <c r="P266" i="1"/>
  <c r="P254" i="1"/>
  <c r="Q246" i="1" s="1"/>
  <c r="P242" i="1"/>
  <c r="Q238" i="1" s="1"/>
  <c r="T101" i="1"/>
  <c r="T103" i="1"/>
  <c r="T106" i="1"/>
  <c r="J36" i="1"/>
  <c r="L36" i="1"/>
  <c r="N36" i="1"/>
  <c r="P36" i="1"/>
  <c r="D36" i="1"/>
  <c r="F36" i="1"/>
  <c r="H36" i="1"/>
  <c r="T50" i="1"/>
  <c r="R97" i="1"/>
  <c r="R98" i="1"/>
  <c r="N69" i="1"/>
  <c r="P69" i="1"/>
  <c r="P72" i="1" s="1"/>
  <c r="T70" i="1"/>
  <c r="T83" i="1"/>
  <c r="D33" i="1"/>
  <c r="P33" i="1"/>
  <c r="N33" i="1"/>
  <c r="L33" i="1"/>
  <c r="J33" i="1"/>
  <c r="H33" i="1"/>
  <c r="F33" i="1"/>
  <c r="L88" i="1"/>
  <c r="T35" i="1"/>
  <c r="R120" i="1"/>
  <c r="R122" i="1"/>
  <c r="R254" i="1"/>
  <c r="R242" i="1"/>
  <c r="S238" i="1" s="1"/>
  <c r="R266" i="1"/>
  <c r="S266" i="1"/>
  <c r="Q266" i="1"/>
  <c r="J72" i="1"/>
  <c r="J85" i="1" s="1"/>
  <c r="S236" i="1"/>
  <c r="R96" i="1"/>
  <c r="A113" i="1"/>
  <c r="A114" i="1" s="1"/>
  <c r="A115" i="1" s="1"/>
  <c r="A116" i="1" s="1"/>
  <c r="A117" i="1" s="1"/>
  <c r="A118" i="1" s="1"/>
  <c r="T82" i="1"/>
  <c r="A102" i="1"/>
  <c r="A103" i="1" s="1"/>
  <c r="P58" i="1"/>
  <c r="T177" i="1"/>
  <c r="R72" i="1"/>
  <c r="B134" i="1"/>
  <c r="B193" i="1" s="1"/>
  <c r="B277" i="1" s="1"/>
  <c r="T164" i="1"/>
  <c r="T165" i="1"/>
  <c r="T178" i="1"/>
  <c r="S249" i="14"/>
  <c r="S248" i="14"/>
  <c r="S247" i="14"/>
  <c r="S241" i="14"/>
  <c r="S239" i="14"/>
  <c r="S247" i="8"/>
  <c r="S253" i="9"/>
  <c r="S250" i="9"/>
  <c r="S249" i="9"/>
  <c r="S236" i="9"/>
  <c r="S254" i="24"/>
  <c r="S253" i="24"/>
  <c r="S252" i="24"/>
  <c r="S251" i="24"/>
  <c r="S250" i="24"/>
  <c r="S249" i="24"/>
  <c r="S248" i="24"/>
  <c r="P71" i="24"/>
  <c r="S236" i="21"/>
  <c r="Q262" i="22"/>
  <c r="S252" i="25"/>
  <c r="S250" i="25"/>
  <c r="S249" i="25"/>
  <c r="S248" i="25"/>
  <c r="S253" i="5"/>
  <c r="T52" i="16"/>
  <c r="Q179" i="16"/>
  <c r="T140" i="16"/>
  <c r="Q216" i="26"/>
  <c r="Q265" i="26"/>
  <c r="S241" i="8"/>
  <c r="S254" i="8"/>
  <c r="T52" i="10"/>
  <c r="P72" i="15"/>
  <c r="R217" i="19"/>
  <c r="S249" i="19"/>
  <c r="S251" i="19"/>
  <c r="S255" i="19"/>
  <c r="S250" i="19"/>
  <c r="S252" i="19"/>
  <c r="Q263" i="25"/>
  <c r="Q264" i="25"/>
  <c r="T139" i="25"/>
  <c r="R211" i="25"/>
  <c r="S250" i="7"/>
  <c r="S237" i="18"/>
  <c r="Q249" i="4"/>
  <c r="S248" i="5"/>
  <c r="S247" i="7"/>
  <c r="Q216" i="16"/>
  <c r="Q251" i="16"/>
  <c r="Q254" i="16"/>
  <c r="Q248" i="16"/>
  <c r="Q253" i="16"/>
  <c r="Q252" i="16"/>
  <c r="Q247" i="16"/>
  <c r="Q241" i="21"/>
  <c r="Q236" i="21"/>
  <c r="Q240" i="21"/>
  <c r="Q259" i="23"/>
  <c r="Q264" i="23"/>
  <c r="N71" i="25"/>
  <c r="S240" i="2"/>
  <c r="S238" i="2"/>
  <c r="Q254" i="14"/>
  <c r="Q252" i="15"/>
  <c r="L35" i="19"/>
  <c r="Q247" i="23"/>
  <c r="Q251" i="23"/>
  <c r="Q248" i="23"/>
  <c r="Q252" i="23"/>
  <c r="Q249" i="23"/>
  <c r="Q254" i="23"/>
  <c r="Q253" i="23"/>
  <c r="Q250" i="23"/>
  <c r="S247" i="16"/>
  <c r="S251" i="16"/>
  <c r="Q249" i="20"/>
  <c r="Q251" i="20"/>
  <c r="Q253" i="20"/>
  <c r="Q255" i="20"/>
  <c r="R132" i="20"/>
  <c r="Q254" i="21"/>
  <c r="Q216" i="22"/>
  <c r="R282" i="24"/>
  <c r="S235" i="21"/>
  <c r="Q248" i="21"/>
  <c r="T168" i="25"/>
  <c r="J35" i="23"/>
  <c r="Q251" i="25"/>
  <c r="Q248" i="25"/>
  <c r="S251" i="26"/>
  <c r="T52" i="5"/>
  <c r="S236" i="6"/>
  <c r="S235" i="3"/>
  <c r="Q248" i="5"/>
  <c r="R178" i="2"/>
  <c r="R180" i="2" s="1"/>
  <c r="R178" i="3" s="1"/>
  <c r="R180" i="3" s="1"/>
  <c r="R178" i="4" s="1"/>
  <c r="R180" i="4" s="1"/>
  <c r="R179" i="5" s="1"/>
  <c r="R181" i="5" s="1"/>
  <c r="R179" i="6" s="1"/>
  <c r="R181" i="6" s="1"/>
  <c r="R179" i="7" s="1"/>
  <c r="R181" i="7" s="1"/>
  <c r="R180" i="8" s="1"/>
  <c r="R182" i="8" s="1"/>
  <c r="R180" i="9" s="1"/>
  <c r="R182" i="9" s="1"/>
  <c r="R180" i="10" s="1"/>
  <c r="R182" i="10" s="1"/>
  <c r="R180" i="14" s="1"/>
  <c r="R182" i="14" s="1"/>
  <c r="R180" i="15" s="1"/>
  <c r="R182" i="15" s="1"/>
  <c r="R180" i="16" s="1"/>
  <c r="R182" i="16" s="1"/>
  <c r="R180" i="17" s="1"/>
  <c r="R182" i="17" s="1"/>
  <c r="R180" i="18" s="1"/>
  <c r="R182" i="18" s="1"/>
  <c r="R181" i="19" s="1"/>
  <c r="R183" i="19" s="1"/>
  <c r="R181" i="20" s="1"/>
  <c r="R183" i="20" s="1"/>
  <c r="R180" i="21" s="1"/>
  <c r="R182" i="21" s="1"/>
  <c r="R180" i="22" s="1"/>
  <c r="R182" i="22" s="1"/>
  <c r="R180" i="23" s="1"/>
  <c r="R182" i="23" s="1"/>
  <c r="R180" i="24" s="1"/>
  <c r="R182" i="24" s="1"/>
  <c r="R180" i="25" s="1"/>
  <c r="R182" i="25" s="1"/>
  <c r="R180" i="26" s="1"/>
  <c r="R182" i="26" s="1"/>
  <c r="R180" i="27" s="1"/>
  <c r="R182" i="27" s="1"/>
  <c r="R180" i="28" s="1"/>
  <c r="R182" i="28" s="1"/>
  <c r="R180" i="29" s="1"/>
  <c r="R182" i="29" s="1"/>
  <c r="R180" i="30" s="1"/>
  <c r="R182" i="30" s="1"/>
  <c r="R180" i="31" s="1"/>
  <c r="R182" i="31" s="1"/>
  <c r="R181" i="32" s="1"/>
  <c r="R183" i="32" s="1"/>
  <c r="R181" i="33" s="1"/>
  <c r="R183" i="33" s="1"/>
  <c r="R181" i="34" s="1"/>
  <c r="R183" i="34" s="1"/>
  <c r="R181" i="35" s="1"/>
  <c r="R183" i="35" s="1"/>
  <c r="R181" i="36" s="1"/>
  <c r="R183" i="36" s="1"/>
  <c r="R181" i="37" s="1"/>
  <c r="R183" i="37" s="1"/>
  <c r="R181" i="38" s="1"/>
  <c r="R183" i="38" s="1"/>
  <c r="R181" i="39" s="1"/>
  <c r="R183" i="39" s="1"/>
  <c r="R181" i="40" s="1"/>
  <c r="R183" i="40" s="1"/>
  <c r="R181" i="41" s="1"/>
  <c r="R183" i="41" s="1"/>
  <c r="R181" i="42" s="1"/>
  <c r="S252" i="26"/>
  <c r="Q259" i="22"/>
  <c r="R211" i="26"/>
  <c r="N71" i="26"/>
  <c r="Q235" i="8"/>
  <c r="Q239" i="8"/>
  <c r="Q238" i="8"/>
  <c r="Q237" i="8"/>
  <c r="S239" i="17"/>
  <c r="Q235" i="17"/>
  <c r="Q237" i="17"/>
  <c r="Q240" i="17"/>
  <c r="R216" i="9"/>
  <c r="S248" i="19"/>
  <c r="S253" i="19"/>
  <c r="S246" i="6"/>
  <c r="S235" i="2"/>
  <c r="Q241" i="8"/>
  <c r="Q241" i="17"/>
  <c r="Q180" i="19"/>
  <c r="Q261" i="27"/>
  <c r="P282" i="27"/>
  <c r="Q235" i="10"/>
  <c r="S251" i="14"/>
  <c r="S250" i="14"/>
  <c r="Q242" i="20"/>
  <c r="Q248" i="20"/>
  <c r="Q250" i="20"/>
  <c r="Q252" i="20"/>
  <c r="S253" i="23"/>
  <c r="S259" i="25"/>
  <c r="S263" i="25"/>
  <c r="S264" i="25"/>
  <c r="S262" i="25"/>
  <c r="R216" i="25"/>
  <c r="S260" i="26"/>
  <c r="S264" i="26"/>
  <c r="S259" i="26"/>
  <c r="S261" i="26"/>
  <c r="S250" i="27"/>
  <c r="R211" i="15"/>
  <c r="N72" i="15"/>
  <c r="Q252" i="21"/>
  <c r="S266" i="27"/>
  <c r="Q252" i="27"/>
  <c r="Q253" i="27"/>
  <c r="Q250" i="27"/>
  <c r="L35" i="3"/>
  <c r="S252" i="5"/>
  <c r="S239" i="4"/>
  <c r="S240" i="4"/>
  <c r="R215" i="7"/>
  <c r="S251" i="7"/>
  <c r="Q237" i="10"/>
  <c r="Q239" i="10"/>
  <c r="Q238" i="10"/>
  <c r="S235" i="15"/>
  <c r="S241" i="15"/>
  <c r="S239" i="15"/>
  <c r="R216" i="15"/>
  <c r="S247" i="15"/>
  <c r="S250" i="15"/>
  <c r="S252" i="15"/>
  <c r="S254" i="15"/>
  <c r="S248" i="15"/>
  <c r="S249" i="15"/>
  <c r="S253" i="15"/>
  <c r="Q240" i="10"/>
  <c r="S240" i="15"/>
  <c r="Q239" i="9"/>
  <c r="Q240" i="9"/>
  <c r="Q241" i="9"/>
  <c r="Q235" i="9"/>
  <c r="S241" i="6"/>
  <c r="S238" i="6"/>
  <c r="S234" i="6"/>
  <c r="S240" i="6"/>
  <c r="Q253" i="9"/>
  <c r="S252" i="7"/>
  <c r="S248" i="7"/>
  <c r="S246" i="7"/>
  <c r="S253" i="6"/>
  <c r="S236" i="15"/>
  <c r="S241" i="2"/>
  <c r="S234" i="2"/>
  <c r="S237" i="2"/>
  <c r="S253" i="7"/>
  <c r="S249" i="7"/>
  <c r="Q215" i="7"/>
  <c r="Q246" i="7"/>
  <c r="Q248" i="7"/>
  <c r="Q253" i="7"/>
  <c r="Q242" i="10"/>
  <c r="S235" i="14"/>
  <c r="S240" i="14"/>
  <c r="S238" i="14"/>
  <c r="S236" i="14"/>
  <c r="R131" i="5"/>
  <c r="Q236" i="8"/>
  <c r="Q242" i="8"/>
  <c r="S252" i="16"/>
  <c r="Q251" i="27"/>
  <c r="Q248" i="27"/>
  <c r="Q252" i="26"/>
  <c r="Q250" i="26"/>
  <c r="S261" i="29"/>
  <c r="Q265" i="29"/>
  <c r="Q260" i="29"/>
  <c r="Q247" i="29"/>
  <c r="Q248" i="29"/>
  <c r="Q249" i="29"/>
  <c r="Q250" i="29"/>
  <c r="Q251" i="29"/>
  <c r="P244" i="29"/>
  <c r="Q235" i="29" s="1"/>
  <c r="Q253" i="29"/>
  <c r="Q252" i="29"/>
  <c r="R211" i="30"/>
  <c r="N71" i="30"/>
  <c r="R216" i="30"/>
  <c r="S247" i="30"/>
  <c r="S253" i="30"/>
  <c r="S259" i="30"/>
  <c r="S260" i="30"/>
  <c r="S261" i="30"/>
  <c r="S262" i="30"/>
  <c r="S263" i="30"/>
  <c r="S264" i="30"/>
  <c r="S265" i="30"/>
  <c r="Q259" i="30"/>
  <c r="Q251" i="30"/>
  <c r="Q247" i="30"/>
  <c r="Q249" i="30"/>
  <c r="Q253" i="30"/>
  <c r="Q250" i="30"/>
  <c r="Q252" i="30"/>
  <c r="Q254" i="30"/>
  <c r="T52" i="31"/>
  <c r="N71" i="31"/>
  <c r="T139" i="31"/>
  <c r="R211" i="31"/>
  <c r="R282" i="31"/>
  <c r="S236" i="31"/>
  <c r="S238" i="31"/>
  <c r="S240" i="31"/>
  <c r="S235" i="31"/>
  <c r="S237" i="31"/>
  <c r="S239" i="31"/>
  <c r="T96" i="31"/>
  <c r="T100" i="31" s="1"/>
  <c r="S263" i="32"/>
  <c r="S261" i="32"/>
  <c r="Q265" i="32"/>
  <c r="Q261" i="32"/>
  <c r="Q248" i="32"/>
  <c r="N71" i="33"/>
  <c r="S250" i="33"/>
  <c r="S254" i="33"/>
  <c r="S260" i="33"/>
  <c r="S262" i="33"/>
  <c r="S263" i="33"/>
  <c r="S264" i="33"/>
  <c r="S266" i="33"/>
  <c r="Q260" i="33"/>
  <c r="Q255" i="33"/>
  <c r="T52" i="34"/>
  <c r="Q260" i="34"/>
  <c r="Q262" i="34"/>
  <c r="Q266" i="34"/>
  <c r="S262" i="34"/>
  <c r="Q180" i="35"/>
  <c r="T140" i="35"/>
  <c r="T52" i="35"/>
  <c r="N71" i="35"/>
  <c r="R217" i="35"/>
  <c r="S248" i="35"/>
  <c r="S260" i="35"/>
  <c r="S261" i="35"/>
  <c r="S262" i="35"/>
  <c r="S263" i="35"/>
  <c r="S264" i="35"/>
  <c r="S265" i="35"/>
  <c r="S266" i="35"/>
  <c r="Q260" i="35"/>
  <c r="Q264" i="35"/>
  <c r="Q262" i="35"/>
  <c r="Q266" i="35"/>
  <c r="Q261" i="35"/>
  <c r="Q263" i="35"/>
  <c r="Q265" i="35"/>
  <c r="Q253" i="19" l="1"/>
  <c r="Q243" i="20"/>
  <c r="S236" i="18"/>
  <c r="S252" i="6"/>
  <c r="Q216" i="9"/>
  <c r="S250" i="6"/>
  <c r="S265" i="26"/>
  <c r="Q238" i="20"/>
  <c r="S241" i="17"/>
  <c r="S238" i="17"/>
  <c r="Q252" i="25"/>
  <c r="Q238" i="21"/>
  <c r="P270" i="16"/>
  <c r="Q242" i="16"/>
  <c r="S241" i="18"/>
  <c r="S242" i="18"/>
  <c r="S239" i="18"/>
  <c r="S252" i="8"/>
  <c r="P270" i="14"/>
  <c r="T97" i="19"/>
  <c r="T101" i="19" s="1"/>
  <c r="S265" i="24"/>
  <c r="S260" i="24"/>
  <c r="R216" i="24"/>
  <c r="P282" i="25"/>
  <c r="Q249" i="27"/>
  <c r="P244" i="30"/>
  <c r="Q236" i="30" s="1"/>
  <c r="S260" i="31"/>
  <c r="Q251" i="9"/>
  <c r="Q237" i="4"/>
  <c r="S240" i="17"/>
  <c r="S237" i="17"/>
  <c r="R124" i="14"/>
  <c r="Q235" i="16"/>
  <c r="S249" i="6"/>
  <c r="S236" i="17"/>
  <c r="S248" i="6"/>
  <c r="T96" i="1"/>
  <c r="T99" i="1" s="1"/>
  <c r="S263" i="31"/>
  <c r="S247" i="6"/>
  <c r="Q239" i="6"/>
  <c r="Q249" i="25"/>
  <c r="Q247" i="25"/>
  <c r="Q235" i="21"/>
  <c r="R215" i="6"/>
  <c r="S240" i="18"/>
  <c r="S238" i="18"/>
  <c r="R269" i="7"/>
  <c r="T169" i="15"/>
  <c r="R271" i="19"/>
  <c r="S252" i="22"/>
  <c r="P282" i="23"/>
  <c r="S266" i="24"/>
  <c r="S261" i="24"/>
  <c r="T36" i="28"/>
  <c r="P244" i="28"/>
  <c r="Q239" i="28" s="1"/>
  <c r="S259" i="31"/>
  <c r="S264" i="31"/>
  <c r="S248" i="34"/>
  <c r="P270" i="9"/>
  <c r="T97" i="14"/>
  <c r="T101" i="14" s="1"/>
  <c r="R101" i="15"/>
  <c r="T97" i="15"/>
  <c r="T101" i="15" s="1"/>
  <c r="T189" i="15" s="1"/>
  <c r="R131" i="26"/>
  <c r="R244" i="30"/>
  <c r="S237" i="30" s="1"/>
  <c r="R283" i="34"/>
  <c r="T96" i="3"/>
  <c r="T99" i="3" s="1"/>
  <c r="R101" i="10"/>
  <c r="T69" i="19"/>
  <c r="T72" i="19" s="1"/>
  <c r="T175" i="19" s="1"/>
  <c r="Q250" i="25"/>
  <c r="T35" i="28"/>
  <c r="T43" i="28" s="1"/>
  <c r="R203" i="28" s="1"/>
  <c r="R204" i="28" s="1"/>
  <c r="R131" i="31"/>
  <c r="S266" i="31"/>
  <c r="R132" i="35"/>
  <c r="T169" i="35"/>
  <c r="T96" i="35"/>
  <c r="T100" i="35" s="1"/>
  <c r="R206" i="35" s="1"/>
  <c r="Q266" i="23"/>
  <c r="Q263" i="23"/>
  <c r="S248" i="30"/>
  <c r="S252" i="30"/>
  <c r="Q248" i="33"/>
  <c r="Q252" i="33"/>
  <c r="Q248" i="35"/>
  <c r="Q252" i="35"/>
  <c r="Q251" i="33"/>
  <c r="Q251" i="22"/>
  <c r="Q216" i="23"/>
  <c r="S251" i="21"/>
  <c r="Q233" i="1"/>
  <c r="Q238" i="16"/>
  <c r="Q240" i="16"/>
  <c r="R124" i="15"/>
  <c r="R132" i="15" s="1"/>
  <c r="R133" i="15" s="1"/>
  <c r="T181" i="15"/>
  <c r="Q248" i="26"/>
  <c r="Q249" i="26"/>
  <c r="Q259" i="29"/>
  <c r="P282" i="29"/>
  <c r="R282" i="30"/>
  <c r="S260" i="32"/>
  <c r="S265" i="32"/>
  <c r="S262" i="32"/>
  <c r="Q267" i="34"/>
  <c r="Q261" i="34"/>
  <c r="Q265" i="34"/>
  <c r="Q217" i="34"/>
  <c r="S249" i="35"/>
  <c r="S252" i="35"/>
  <c r="Q250" i="33"/>
  <c r="S264" i="32"/>
  <c r="S250" i="30"/>
  <c r="Q265" i="23"/>
  <c r="Q236" i="16"/>
  <c r="Q237" i="16"/>
  <c r="T140" i="15"/>
  <c r="P268" i="1"/>
  <c r="Q252" i="7"/>
  <c r="Q250" i="7"/>
  <c r="S248" i="8"/>
  <c r="S250" i="8"/>
  <c r="S252" i="9"/>
  <c r="S251" i="9"/>
  <c r="S248" i="9"/>
  <c r="Q247" i="10"/>
  <c r="Q254" i="10"/>
  <c r="Q216" i="14"/>
  <c r="Q248" i="14"/>
  <c r="P282" i="26"/>
  <c r="Q259" i="31"/>
  <c r="Q216" i="31"/>
  <c r="R212" i="34"/>
  <c r="T68" i="34"/>
  <c r="T71" i="34" s="1"/>
  <c r="S239" i="3"/>
  <c r="S240" i="3"/>
  <c r="S234" i="3"/>
  <c r="Q248" i="6"/>
  <c r="Q247" i="6"/>
  <c r="Q241" i="28"/>
  <c r="T52" i="32"/>
  <c r="Q180" i="32"/>
  <c r="S251" i="30"/>
  <c r="Q238" i="29"/>
  <c r="S251" i="29"/>
  <c r="Q239" i="19"/>
  <c r="R270" i="17"/>
  <c r="S237" i="3"/>
  <c r="Q262" i="23"/>
  <c r="R130" i="1"/>
  <c r="T184" i="1"/>
  <c r="S242" i="5"/>
  <c r="S237" i="5"/>
  <c r="Q251" i="6"/>
  <c r="S254" i="35"/>
  <c r="Q264" i="34"/>
  <c r="Q250" i="32"/>
  <c r="S267" i="32"/>
  <c r="S254" i="30"/>
  <c r="Q264" i="29"/>
  <c r="Q261" i="29"/>
  <c r="Q254" i="26"/>
  <c r="S234" i="4"/>
  <c r="Q215" i="6"/>
  <c r="S241" i="3"/>
  <c r="T68" i="26"/>
  <c r="T71" i="26" s="1"/>
  <c r="T174" i="26" s="1"/>
  <c r="Q251" i="35"/>
  <c r="S250" i="35"/>
  <c r="Q263" i="34"/>
  <c r="Q249" i="33"/>
  <c r="Q254" i="32"/>
  <c r="S266" i="32"/>
  <c r="Q260" i="30"/>
  <c r="S249" i="30"/>
  <c r="Q262" i="29"/>
  <c r="Q263" i="29"/>
  <c r="S239" i="5"/>
  <c r="S238" i="4"/>
  <c r="R282" i="27"/>
  <c r="S251" i="17"/>
  <c r="S236" i="3"/>
  <c r="S238" i="3"/>
  <c r="S243" i="3" s="1"/>
  <c r="Q261" i="23"/>
  <c r="R216" i="8"/>
  <c r="R211" i="18"/>
  <c r="Q239" i="16"/>
  <c r="T52" i="15"/>
  <c r="Q239" i="2"/>
  <c r="S237" i="1"/>
  <c r="S247" i="9"/>
  <c r="S254" i="9"/>
  <c r="T139" i="5"/>
  <c r="Q178" i="5"/>
  <c r="S234" i="7"/>
  <c r="S241" i="7"/>
  <c r="T169" i="9"/>
  <c r="Q250" i="10"/>
  <c r="S237" i="14"/>
  <c r="S242" i="14"/>
  <c r="Q236" i="20"/>
  <c r="Q241" i="20"/>
  <c r="Q240" i="20"/>
  <c r="Q180" i="20"/>
  <c r="T52" i="20"/>
  <c r="Q242" i="21"/>
  <c r="Q239" i="21"/>
  <c r="Q244" i="21" s="1"/>
  <c r="T96" i="23"/>
  <c r="T100" i="23" s="1"/>
  <c r="P244" i="24"/>
  <c r="Q236" i="24" s="1"/>
  <c r="Q262" i="24"/>
  <c r="Q259" i="24"/>
  <c r="T35" i="24"/>
  <c r="T51" i="24"/>
  <c r="S253" i="25"/>
  <c r="S251" i="25"/>
  <c r="S254" i="25"/>
  <c r="S266" i="25"/>
  <c r="S260" i="25"/>
  <c r="S261" i="25"/>
  <c r="S268" i="25" s="1"/>
  <c r="Q253" i="26"/>
  <c r="S241" i="31"/>
  <c r="S267" i="33"/>
  <c r="R217" i="33"/>
  <c r="S261" i="33"/>
  <c r="S265" i="33"/>
  <c r="R270" i="14"/>
  <c r="P270" i="21"/>
  <c r="P282" i="22"/>
  <c r="R100" i="25"/>
  <c r="T51" i="30"/>
  <c r="P244" i="22"/>
  <c r="Q239" i="22" s="1"/>
  <c r="S261" i="31"/>
  <c r="S265" i="31"/>
  <c r="P282" i="31"/>
  <c r="P245" i="32"/>
  <c r="Q238" i="32" s="1"/>
  <c r="R245" i="32"/>
  <c r="S242" i="32" s="1"/>
  <c r="T51" i="33"/>
  <c r="R132" i="33"/>
  <c r="R283" i="33"/>
  <c r="T96" i="34"/>
  <c r="T100" i="34" s="1"/>
  <c r="R206" i="34" s="1"/>
  <c r="Q249" i="35"/>
  <c r="S266" i="34"/>
  <c r="R217" i="34"/>
  <c r="Q265" i="33"/>
  <c r="S239" i="30"/>
  <c r="Q265" i="30"/>
  <c r="P282" i="30"/>
  <c r="P270" i="10"/>
  <c r="Q252" i="9"/>
  <c r="S260" i="27"/>
  <c r="S261" i="27"/>
  <c r="S249" i="17"/>
  <c r="Q247" i="9"/>
  <c r="Q252" i="10"/>
  <c r="Q251" i="10"/>
  <c r="Q242" i="5"/>
  <c r="S248" i="26"/>
  <c r="S250" i="10"/>
  <c r="S249" i="26"/>
  <c r="Q216" i="21"/>
  <c r="Q253" i="14"/>
  <c r="Q252" i="14"/>
  <c r="S240" i="7"/>
  <c r="Q264" i="26"/>
  <c r="Q263" i="26"/>
  <c r="Q250" i="14"/>
  <c r="Q235" i="2"/>
  <c r="Q248" i="10"/>
  <c r="T97" i="16"/>
  <c r="T101" i="16" s="1"/>
  <c r="T120" i="16" s="1"/>
  <c r="T132" i="16" s="1"/>
  <c r="T133" i="16" s="1"/>
  <c r="T97" i="18"/>
  <c r="T101" i="18" s="1"/>
  <c r="S266" i="22"/>
  <c r="S262" i="22"/>
  <c r="T96" i="22"/>
  <c r="T100" i="22" s="1"/>
  <c r="R205" i="22" s="1"/>
  <c r="Q179" i="23"/>
  <c r="T139" i="23"/>
  <c r="Q260" i="26"/>
  <c r="T168" i="27"/>
  <c r="R131" i="27"/>
  <c r="R131" i="30"/>
  <c r="T168" i="30"/>
  <c r="Q260" i="31"/>
  <c r="Q262" i="31"/>
  <c r="Q264" i="31"/>
  <c r="Q254" i="35"/>
  <c r="S261" i="34"/>
  <c r="Q261" i="33"/>
  <c r="Q264" i="30"/>
  <c r="Q261" i="30"/>
  <c r="R216" i="29"/>
  <c r="T52" i="29"/>
  <c r="T139" i="29"/>
  <c r="T139" i="28"/>
  <c r="Q254" i="9"/>
  <c r="R214" i="4"/>
  <c r="S262" i="27"/>
  <c r="S265" i="27"/>
  <c r="S247" i="17"/>
  <c r="Q253" i="10"/>
  <c r="Q216" i="10"/>
  <c r="T69" i="1"/>
  <c r="T72" i="1" s="1"/>
  <c r="T139" i="26"/>
  <c r="S250" i="26"/>
  <c r="R211" i="21"/>
  <c r="T51" i="19"/>
  <c r="Q249" i="14"/>
  <c r="Q247" i="14"/>
  <c r="Q266" i="26"/>
  <c r="S235" i="7"/>
  <c r="Q247" i="3"/>
  <c r="Q261" i="26"/>
  <c r="Q251" i="14"/>
  <c r="Q240" i="2"/>
  <c r="S265" i="22"/>
  <c r="S261" i="22"/>
  <c r="R216" i="22"/>
  <c r="T36" i="22"/>
  <c r="R100" i="26"/>
  <c r="R132" i="26" s="1"/>
  <c r="S259" i="28"/>
  <c r="P245" i="33"/>
  <c r="Q243" i="33" s="1"/>
  <c r="N71" i="34"/>
  <c r="T188" i="34"/>
  <c r="T120" i="35"/>
  <c r="T132" i="35" s="1"/>
  <c r="T133" i="35" s="1"/>
  <c r="R133" i="36"/>
  <c r="Q255" i="35"/>
  <c r="P283" i="34"/>
  <c r="S264" i="34"/>
  <c r="Q253" i="35"/>
  <c r="Q250" i="35"/>
  <c r="S263" i="34"/>
  <c r="S260" i="34"/>
  <c r="Q262" i="33"/>
  <c r="Q262" i="30"/>
  <c r="N71" i="29"/>
  <c r="T52" i="28"/>
  <c r="S237" i="7"/>
  <c r="Q250" i="9"/>
  <c r="Q249" i="9"/>
  <c r="S264" i="27"/>
  <c r="Q249" i="10"/>
  <c r="S236" i="7"/>
  <c r="S247" i="26"/>
  <c r="T52" i="26"/>
  <c r="S253" i="26"/>
  <c r="Q251" i="21"/>
  <c r="R124" i="16"/>
  <c r="R132" i="16" s="1"/>
  <c r="Q250" i="21"/>
  <c r="T51" i="20"/>
  <c r="Q262" i="26"/>
  <c r="Q268" i="26" s="1"/>
  <c r="S238" i="7"/>
  <c r="R132" i="8"/>
  <c r="R133" i="8" s="1"/>
  <c r="T169" i="19"/>
  <c r="R132" i="19"/>
  <c r="T168" i="21"/>
  <c r="S264" i="22"/>
  <c r="S265" i="23"/>
  <c r="R222" i="8"/>
  <c r="R222" i="9" s="1"/>
  <c r="T68" i="25"/>
  <c r="T71" i="25" s="1"/>
  <c r="T174" i="25" s="1"/>
  <c r="Q254" i="27"/>
  <c r="R131" i="28"/>
  <c r="T168" i="28"/>
  <c r="T68" i="29"/>
  <c r="T71" i="29" s="1"/>
  <c r="T174" i="29" s="1"/>
  <c r="T96" i="29"/>
  <c r="T100" i="29" s="1"/>
  <c r="R100" i="30"/>
  <c r="R132" i="30" s="1"/>
  <c r="Q261" i="31"/>
  <c r="Q263" i="31"/>
  <c r="Q265" i="31"/>
  <c r="R245" i="33"/>
  <c r="S238" i="33" s="1"/>
  <c r="Q250" i="34"/>
  <c r="Q235" i="28"/>
  <c r="T51" i="26"/>
  <c r="T36" i="26"/>
  <c r="T35" i="26"/>
  <c r="T43" i="26" s="1"/>
  <c r="R203" i="26" s="1"/>
  <c r="R204" i="26" s="1"/>
  <c r="T51" i="34"/>
  <c r="T35" i="35"/>
  <c r="T43" i="35" s="1"/>
  <c r="R204" i="35" s="1"/>
  <c r="R205" i="35" s="1"/>
  <c r="T36" i="35"/>
  <c r="S257" i="19"/>
  <c r="T166" i="1"/>
  <c r="T51" i="10"/>
  <c r="T120" i="14"/>
  <c r="T97" i="9"/>
  <c r="T101" i="9" s="1"/>
  <c r="T120" i="9" s="1"/>
  <c r="T132" i="9" s="1"/>
  <c r="T133" i="9" s="1"/>
  <c r="R101" i="17"/>
  <c r="T168" i="23"/>
  <c r="T51" i="25"/>
  <c r="T96" i="26"/>
  <c r="T100" i="26" s="1"/>
  <c r="T189" i="26" s="1"/>
  <c r="R100" i="31"/>
  <c r="R132" i="31" s="1"/>
  <c r="T36" i="32"/>
  <c r="T96" i="33"/>
  <c r="T100" i="33" s="1"/>
  <c r="S241" i="20"/>
  <c r="S237" i="20"/>
  <c r="T51" i="1"/>
  <c r="P269" i="2"/>
  <c r="Q252" i="2"/>
  <c r="Q251" i="2"/>
  <c r="Q249" i="2"/>
  <c r="Q239" i="3"/>
  <c r="Q237" i="3"/>
  <c r="Q241" i="3"/>
  <c r="N35" i="3"/>
  <c r="T51" i="3"/>
  <c r="S237" i="4"/>
  <c r="S236" i="4"/>
  <c r="S235" i="4"/>
  <c r="S247" i="5"/>
  <c r="R215" i="5"/>
  <c r="S251" i="5"/>
  <c r="S249" i="5"/>
  <c r="S254" i="5"/>
  <c r="S250" i="5"/>
  <c r="T139" i="6"/>
  <c r="T52" i="6"/>
  <c r="Q178" i="6"/>
  <c r="S237" i="6"/>
  <c r="S235" i="6"/>
  <c r="S239" i="6"/>
  <c r="P72" i="6"/>
  <c r="T69" i="6"/>
  <c r="T72" i="6" s="1"/>
  <c r="P72" i="7"/>
  <c r="T69" i="7"/>
  <c r="T72" i="7" s="1"/>
  <c r="S242" i="8"/>
  <c r="S239" i="8"/>
  <c r="S235" i="8"/>
  <c r="S237" i="8"/>
  <c r="S238" i="8"/>
  <c r="S236" i="8"/>
  <c r="S235" i="9"/>
  <c r="S239" i="9"/>
  <c r="S242" i="9"/>
  <c r="S238" i="9"/>
  <c r="S241" i="9"/>
  <c r="S237" i="9"/>
  <c r="R101" i="14"/>
  <c r="S242" i="15"/>
  <c r="S238" i="15"/>
  <c r="P72" i="18"/>
  <c r="T69" i="18"/>
  <c r="T72" i="18" s="1"/>
  <c r="S251" i="23"/>
  <c r="S250" i="23"/>
  <c r="S248" i="23"/>
  <c r="S247" i="23"/>
  <c r="S254" i="23"/>
  <c r="S252" i="23"/>
  <c r="R282" i="23"/>
  <c r="S249" i="23"/>
  <c r="Q250" i="31"/>
  <c r="Q248" i="31"/>
  <c r="Q236" i="22"/>
  <c r="S235" i="16"/>
  <c r="S241" i="16"/>
  <c r="S237" i="16"/>
  <c r="S240" i="16"/>
  <c r="S236" i="16"/>
  <c r="S239" i="16"/>
  <c r="T181" i="18"/>
  <c r="R124" i="18"/>
  <c r="R132" i="18" s="1"/>
  <c r="S239" i="19"/>
  <c r="S240" i="19"/>
  <c r="T192" i="34"/>
  <c r="S241" i="33"/>
  <c r="S253" i="33"/>
  <c r="S249" i="33"/>
  <c r="T120" i="34"/>
  <c r="T132" i="34" s="1"/>
  <c r="T133" i="34" s="1"/>
  <c r="S239" i="33"/>
  <c r="S252" i="33"/>
  <c r="S248" i="33"/>
  <c r="Q240" i="14"/>
  <c r="Q237" i="14"/>
  <c r="S254" i="18"/>
  <c r="S249" i="18"/>
  <c r="S251" i="18"/>
  <c r="S248" i="18"/>
  <c r="S253" i="18"/>
  <c r="Q179" i="18"/>
  <c r="T52" i="18"/>
  <c r="Q248" i="22"/>
  <c r="Q254" i="22"/>
  <c r="Q249" i="22"/>
  <c r="Q250" i="22"/>
  <c r="Q252" i="22"/>
  <c r="Q247" i="22"/>
  <c r="N35" i="23"/>
  <c r="T51" i="23"/>
  <c r="N71" i="23"/>
  <c r="T68" i="23"/>
  <c r="T71" i="23" s="1"/>
  <c r="R244" i="23"/>
  <c r="S242" i="23" s="1"/>
  <c r="Q239" i="24"/>
  <c r="R244" i="25"/>
  <c r="S239" i="25" s="1"/>
  <c r="T36" i="27"/>
  <c r="T51" i="27"/>
  <c r="Q253" i="32"/>
  <c r="Q255" i="32"/>
  <c r="Q249" i="32"/>
  <c r="T68" i="32"/>
  <c r="T71" i="32" s="1"/>
  <c r="N71" i="32"/>
  <c r="R212" i="32"/>
  <c r="T51" i="35"/>
  <c r="T190" i="34"/>
  <c r="S243" i="35"/>
  <c r="T140" i="34"/>
  <c r="S255" i="33"/>
  <c r="Q242" i="30"/>
  <c r="Q238" i="30"/>
  <c r="Q238" i="28"/>
  <c r="Q235" i="3"/>
  <c r="Q248" i="2"/>
  <c r="T36" i="19"/>
  <c r="S238" i="16"/>
  <c r="T140" i="9"/>
  <c r="T52" i="9"/>
  <c r="Q179" i="9"/>
  <c r="R101" i="9"/>
  <c r="R211" i="9"/>
  <c r="N72" i="9"/>
  <c r="Q241" i="10"/>
  <c r="Q236" i="10"/>
  <c r="T140" i="10"/>
  <c r="Q179" i="10"/>
  <c r="N72" i="10"/>
  <c r="R211" i="10"/>
  <c r="T69" i="10"/>
  <c r="T72" i="10" s="1"/>
  <c r="T174" i="10" s="1"/>
  <c r="T189" i="16"/>
  <c r="Q254" i="17"/>
  <c r="Q250" i="17"/>
  <c r="Q249" i="17"/>
  <c r="T140" i="17"/>
  <c r="Q179" i="17"/>
  <c r="T52" i="17"/>
  <c r="H35" i="20"/>
  <c r="T35" i="20" s="1"/>
  <c r="T43" i="20" s="1"/>
  <c r="R204" i="20" s="1"/>
  <c r="R205" i="20" s="1"/>
  <c r="T36" i="20"/>
  <c r="Q261" i="22"/>
  <c r="Q263" i="22"/>
  <c r="Q264" i="22"/>
  <c r="Q265" i="22"/>
  <c r="Q266" i="22"/>
  <c r="Q260" i="22"/>
  <c r="Q263" i="27"/>
  <c r="Q260" i="27"/>
  <c r="Q216" i="27"/>
  <c r="Q265" i="27"/>
  <c r="Q266" i="27"/>
  <c r="Q259" i="27"/>
  <c r="Q262" i="27"/>
  <c r="Q264" i="27"/>
  <c r="R216" i="28"/>
  <c r="S262" i="28"/>
  <c r="S265" i="28"/>
  <c r="S261" i="28"/>
  <c r="S264" i="28"/>
  <c r="S260" i="28"/>
  <c r="N71" i="28"/>
  <c r="T68" i="28"/>
  <c r="T71" i="28" s="1"/>
  <c r="T174" i="28" s="1"/>
  <c r="Q251" i="32"/>
  <c r="R222" i="10"/>
  <c r="R222" i="14" s="1"/>
  <c r="R222" i="15" s="1"/>
  <c r="R222" i="16" s="1"/>
  <c r="R222" i="17" s="1"/>
  <c r="R222" i="18" s="1"/>
  <c r="R223" i="19" s="1"/>
  <c r="R223" i="20" s="1"/>
  <c r="R222" i="21" s="1"/>
  <c r="R222" i="22" s="1"/>
  <c r="R222" i="23" s="1"/>
  <c r="R222" i="24" s="1"/>
  <c r="R222" i="25" s="1"/>
  <c r="R222" i="26" s="1"/>
  <c r="R222" i="27" s="1"/>
  <c r="R222" i="28" s="1"/>
  <c r="R222" i="29" s="1"/>
  <c r="R222" i="30" s="1"/>
  <c r="R222" i="31" s="1"/>
  <c r="R223" i="32" s="1"/>
  <c r="R223" i="33" s="1"/>
  <c r="R223" i="34" s="1"/>
  <c r="R223" i="35" s="1"/>
  <c r="R223" i="36" s="1"/>
  <c r="R223" i="37" s="1"/>
  <c r="R223" i="38" s="1"/>
  <c r="R223" i="39" s="1"/>
  <c r="R223" i="40" s="1"/>
  <c r="R223" i="41" s="1"/>
  <c r="R223" i="42" s="1"/>
  <c r="R223" i="43" s="1"/>
  <c r="R223" i="44" s="1"/>
  <c r="R223" i="45" s="1"/>
  <c r="R223" i="46" s="1"/>
  <c r="R222" i="47" s="1"/>
  <c r="R222" i="48" s="1"/>
  <c r="R222" i="49" s="1"/>
  <c r="R222" i="50" s="1"/>
  <c r="R222" i="51" s="1"/>
  <c r="R222" i="52" s="1"/>
  <c r="R222" i="53" s="1"/>
  <c r="R222" i="54" s="1"/>
  <c r="R222" i="55" s="1"/>
  <c r="R222" i="56" s="1"/>
  <c r="R222" i="57" s="1"/>
  <c r="R225" i="58" s="1"/>
  <c r="R225" i="59" s="1"/>
  <c r="R225" i="60" s="1"/>
  <c r="R225" i="61" s="1"/>
  <c r="R226" i="62" s="1"/>
  <c r="R132" i="10"/>
  <c r="R133" i="10" s="1"/>
  <c r="R270" i="15"/>
  <c r="P282" i="28"/>
  <c r="T51" i="29"/>
  <c r="R100" i="29"/>
  <c r="R132" i="29" s="1"/>
  <c r="T35" i="33"/>
  <c r="T43" i="33" s="1"/>
  <c r="R204" i="33" s="1"/>
  <c r="R205" i="33" s="1"/>
  <c r="T36" i="33"/>
  <c r="T190" i="33"/>
  <c r="P283" i="35"/>
  <c r="T68" i="35"/>
  <c r="T71" i="35" s="1"/>
  <c r="T175" i="35" s="1"/>
  <c r="S244" i="18"/>
  <c r="R132" i="14"/>
  <c r="R130" i="2"/>
  <c r="S253" i="14"/>
  <c r="R270" i="18"/>
  <c r="P244" i="25"/>
  <c r="Q241" i="25" s="1"/>
  <c r="R131" i="25"/>
  <c r="R132" i="25" s="1"/>
  <c r="P270" i="15"/>
  <c r="T85" i="19"/>
  <c r="T176" i="19" s="1"/>
  <c r="T97" i="20"/>
  <c r="T101" i="20" s="1"/>
  <c r="R282" i="26"/>
  <c r="T36" i="29"/>
  <c r="R244" i="29"/>
  <c r="S237" i="29" s="1"/>
  <c r="T36" i="31"/>
  <c r="Q266" i="31"/>
  <c r="R100" i="32"/>
  <c r="T96" i="32"/>
  <c r="T100" i="32" s="1"/>
  <c r="T188" i="32" s="1"/>
  <c r="P283" i="33"/>
  <c r="T36" i="34"/>
  <c r="P245" i="35"/>
  <c r="Q241" i="35" s="1"/>
  <c r="Q269" i="36"/>
  <c r="R205" i="15"/>
  <c r="T191" i="15"/>
  <c r="T120" i="15"/>
  <c r="T132" i="15" s="1"/>
  <c r="T133" i="15" s="1"/>
  <c r="T85" i="1"/>
  <c r="T172" i="1" s="1"/>
  <c r="T171" i="1"/>
  <c r="Q241" i="24"/>
  <c r="Q242" i="24"/>
  <c r="Q240" i="24"/>
  <c r="Q239" i="4"/>
  <c r="Q241" i="4"/>
  <c r="Q235" i="4"/>
  <c r="Q248" i="4"/>
  <c r="Q252" i="4"/>
  <c r="Q250" i="4"/>
  <c r="Q247" i="4"/>
  <c r="Q251" i="4"/>
  <c r="Q253" i="4"/>
  <c r="P72" i="4"/>
  <c r="T69" i="4"/>
  <c r="T72" i="4" s="1"/>
  <c r="T85" i="4" s="1"/>
  <c r="T173" i="4" s="1"/>
  <c r="T52" i="1"/>
  <c r="T138" i="1"/>
  <c r="T147" i="1" s="1"/>
  <c r="Q176" i="1"/>
  <c r="Q180" i="1" s="1"/>
  <c r="Q240" i="5"/>
  <c r="Q235" i="5"/>
  <c r="Q237" i="5"/>
  <c r="Q238" i="5"/>
  <c r="Q236" i="5"/>
  <c r="N72" i="6"/>
  <c r="R210" i="6"/>
  <c r="T51" i="7"/>
  <c r="L35" i="9"/>
  <c r="T35" i="9" s="1"/>
  <c r="T43" i="9" s="1"/>
  <c r="R203" i="9" s="1"/>
  <c r="R204" i="9" s="1"/>
  <c r="T51" i="9"/>
  <c r="S240" i="10"/>
  <c r="S242" i="10"/>
  <c r="S239" i="10"/>
  <c r="S241" i="10"/>
  <c r="S236" i="10"/>
  <c r="S235" i="10"/>
  <c r="S238" i="10"/>
  <c r="S249" i="10"/>
  <c r="R216" i="10"/>
  <c r="S252" i="10"/>
  <c r="S247" i="10"/>
  <c r="S248" i="10"/>
  <c r="R211" i="14"/>
  <c r="N72" i="14"/>
  <c r="T69" i="14"/>
  <c r="T72" i="14" s="1"/>
  <c r="Q236" i="15"/>
  <c r="Q240" i="15"/>
  <c r="Q238" i="15"/>
  <c r="Q249" i="15"/>
  <c r="Q248" i="15"/>
  <c r="Q254" i="15"/>
  <c r="Q253" i="15"/>
  <c r="Q251" i="15"/>
  <c r="Q237" i="18"/>
  <c r="Q236" i="18"/>
  <c r="Q240" i="18"/>
  <c r="Q238" i="18"/>
  <c r="R101" i="18"/>
  <c r="Q238" i="19"/>
  <c r="Q241" i="19"/>
  <c r="S241" i="21"/>
  <c r="S239" i="21"/>
  <c r="S237" i="21"/>
  <c r="S242" i="21"/>
  <c r="S249" i="21"/>
  <c r="R216" i="21"/>
  <c r="S250" i="21"/>
  <c r="S254" i="21"/>
  <c r="S247" i="21"/>
  <c r="R270" i="21"/>
  <c r="L35" i="21"/>
  <c r="T51" i="21"/>
  <c r="H35" i="21"/>
  <c r="T36" i="21"/>
  <c r="P71" i="21"/>
  <c r="T68" i="21"/>
  <c r="T71" i="21" s="1"/>
  <c r="T174" i="21" s="1"/>
  <c r="Q254" i="24"/>
  <c r="Q250" i="24"/>
  <c r="Q251" i="24"/>
  <c r="Q247" i="24"/>
  <c r="Q248" i="24"/>
  <c r="R244" i="24"/>
  <c r="S237" i="24" s="1"/>
  <c r="Q237" i="24"/>
  <c r="Q235" i="24"/>
  <c r="Q260" i="24"/>
  <c r="Q266" i="24"/>
  <c r="Q216" i="24"/>
  <c r="Q261" i="24"/>
  <c r="Q265" i="24"/>
  <c r="Q264" i="24"/>
  <c r="P282" i="24"/>
  <c r="T36" i="24"/>
  <c r="R100" i="24"/>
  <c r="R132" i="24" s="1"/>
  <c r="Q261" i="25"/>
  <c r="Q265" i="25"/>
  <c r="Q262" i="25"/>
  <c r="Q260" i="25"/>
  <c r="T52" i="25"/>
  <c r="Q179" i="25"/>
  <c r="S249" i="27"/>
  <c r="S248" i="27"/>
  <c r="S252" i="27"/>
  <c r="S251" i="27"/>
  <c r="S247" i="27"/>
  <c r="R244" i="27"/>
  <c r="S236" i="27" s="1"/>
  <c r="P244" i="27"/>
  <c r="Q242" i="27" s="1"/>
  <c r="S253" i="28"/>
  <c r="S251" i="28"/>
  <c r="S249" i="28"/>
  <c r="S247" i="28"/>
  <c r="S252" i="28"/>
  <c r="S248" i="28"/>
  <c r="R282" i="28"/>
  <c r="R100" i="28"/>
  <c r="R132" i="28" s="1"/>
  <c r="T35" i="29"/>
  <c r="T43" i="29" s="1"/>
  <c r="R203" i="29" s="1"/>
  <c r="R204" i="29" s="1"/>
  <c r="T191" i="29"/>
  <c r="T189" i="29"/>
  <c r="S252" i="29"/>
  <c r="S247" i="29"/>
  <c r="S250" i="29"/>
  <c r="S266" i="29"/>
  <c r="S260" i="29"/>
  <c r="S262" i="29"/>
  <c r="S264" i="29"/>
  <c r="P71" i="30"/>
  <c r="T68" i="30"/>
  <c r="T71" i="30" s="1"/>
  <c r="T84" i="30" s="1"/>
  <c r="T175" i="30" s="1"/>
  <c r="T192" i="35"/>
  <c r="S255" i="35"/>
  <c r="S253" i="35"/>
  <c r="S251" i="35"/>
  <c r="T192" i="33"/>
  <c r="T120" i="33"/>
  <c r="T132" i="33" s="1"/>
  <c r="T133" i="33" s="1"/>
  <c r="Q253" i="33"/>
  <c r="Q254" i="33"/>
  <c r="Q263" i="33"/>
  <c r="Q266" i="33"/>
  <c r="Q264" i="33"/>
  <c r="T52" i="33"/>
  <c r="T140" i="33"/>
  <c r="P283" i="32"/>
  <c r="Q263" i="32"/>
  <c r="Q267" i="32"/>
  <c r="Q262" i="32"/>
  <c r="Q239" i="30"/>
  <c r="Q241" i="30"/>
  <c r="Q239" i="29"/>
  <c r="Q242" i="29"/>
  <c r="Q236" i="29"/>
  <c r="S254" i="29"/>
  <c r="S259" i="29"/>
  <c r="T187" i="29"/>
  <c r="S263" i="29"/>
  <c r="S253" i="29"/>
  <c r="T36" i="7"/>
  <c r="S255" i="7"/>
  <c r="T43" i="1"/>
  <c r="Q238" i="24"/>
  <c r="Q240" i="4"/>
  <c r="T187" i="15"/>
  <c r="Q252" i="24"/>
  <c r="Q235" i="15"/>
  <c r="S254" i="27"/>
  <c r="Q250" i="15"/>
  <c r="Q247" i="15"/>
  <c r="Q239" i="5"/>
  <c r="S251" i="10"/>
  <c r="Q263" i="24"/>
  <c r="S240" i="21"/>
  <c r="Q255" i="19"/>
  <c r="Q242" i="15"/>
  <c r="S254" i="10"/>
  <c r="Q236" i="4"/>
  <c r="Q266" i="25"/>
  <c r="Q216" i="25"/>
  <c r="Q259" i="25"/>
  <c r="S253" i="21"/>
  <c r="S248" i="21"/>
  <c r="J35" i="7"/>
  <c r="Q238" i="4"/>
  <c r="S238" i="21"/>
  <c r="Q236" i="2"/>
  <c r="Q237" i="2"/>
  <c r="Q241" i="2"/>
  <c r="Q238" i="2"/>
  <c r="Q246" i="2"/>
  <c r="Q247" i="2"/>
  <c r="Q253" i="2"/>
  <c r="Q250" i="2"/>
  <c r="Q214" i="2"/>
  <c r="N72" i="2"/>
  <c r="R209" i="2"/>
  <c r="Q240" i="3"/>
  <c r="Q238" i="3"/>
  <c r="Q236" i="3"/>
  <c r="Q234" i="3"/>
  <c r="P269" i="3"/>
  <c r="F35" i="3"/>
  <c r="T35" i="3" s="1"/>
  <c r="T43" i="3" s="1"/>
  <c r="R201" i="3" s="1"/>
  <c r="R202" i="3" s="1"/>
  <c r="T36" i="3"/>
  <c r="P269" i="4"/>
  <c r="S254" i="16"/>
  <c r="S250" i="16"/>
  <c r="R216" i="16"/>
  <c r="S249" i="16"/>
  <c r="S253" i="16"/>
  <c r="S248" i="16"/>
  <c r="Q236" i="17"/>
  <c r="Q238" i="17"/>
  <c r="Q239" i="17"/>
  <c r="Q242" i="17"/>
  <c r="Q253" i="17"/>
  <c r="Q216" i="17"/>
  <c r="Q252" i="17"/>
  <c r="Q247" i="17"/>
  <c r="Q248" i="17"/>
  <c r="T69" i="17"/>
  <c r="T72" i="17" s="1"/>
  <c r="T85" i="17" s="1"/>
  <c r="T175" i="17" s="1"/>
  <c r="N72" i="17"/>
  <c r="Q242" i="18"/>
  <c r="S250" i="28"/>
  <c r="Q246" i="6"/>
  <c r="Q249" i="6"/>
  <c r="Q252" i="6"/>
  <c r="S253" i="8"/>
  <c r="S251" i="8"/>
  <c r="T51" i="8"/>
  <c r="R270" i="16"/>
  <c r="R212" i="19"/>
  <c r="N72" i="19"/>
  <c r="S249" i="20"/>
  <c r="S255" i="20"/>
  <c r="R212" i="20"/>
  <c r="T69" i="20"/>
  <c r="T72" i="20" s="1"/>
  <c r="Q247" i="26"/>
  <c r="Q251" i="26"/>
  <c r="S262" i="26"/>
  <c r="S266" i="26"/>
  <c r="R216" i="27"/>
  <c r="S259" i="27"/>
  <c r="S268" i="27" s="1"/>
  <c r="Q247" i="31"/>
  <c r="Q254" i="31"/>
  <c r="Q249" i="31"/>
  <c r="Q255" i="34"/>
  <c r="Q248" i="34"/>
  <c r="Q252" i="34"/>
  <c r="Q249" i="34"/>
  <c r="S238" i="36"/>
  <c r="S237" i="36"/>
  <c r="T167" i="4"/>
  <c r="T96" i="2"/>
  <c r="T99" i="2" s="1"/>
  <c r="T185" i="2" s="1"/>
  <c r="T168" i="5"/>
  <c r="T168" i="6"/>
  <c r="T97" i="6"/>
  <c r="T100" i="6" s="1"/>
  <c r="T119" i="6" s="1"/>
  <c r="T131" i="6" s="1"/>
  <c r="T132" i="6" s="1"/>
  <c r="R100" i="5"/>
  <c r="R132" i="5" s="1"/>
  <c r="R270" i="8"/>
  <c r="T169" i="8"/>
  <c r="T97" i="8"/>
  <c r="T101" i="8" s="1"/>
  <c r="R132" i="9"/>
  <c r="T69" i="15"/>
  <c r="T72" i="15" s="1"/>
  <c r="T36" i="16"/>
  <c r="T169" i="20"/>
  <c r="T35" i="31"/>
  <c r="T43" i="31" s="1"/>
  <c r="R203" i="31" s="1"/>
  <c r="R204" i="31" s="1"/>
  <c r="T168" i="31"/>
  <c r="T68" i="33"/>
  <c r="T71" i="33" s="1"/>
  <c r="R183" i="42"/>
  <c r="R181" i="43" s="1"/>
  <c r="R183" i="43" s="1"/>
  <c r="R181" i="44" s="1"/>
  <c r="R183" i="44" s="1"/>
  <c r="R181" i="45" s="1"/>
  <c r="R183" i="45" s="1"/>
  <c r="R181" i="46" s="1"/>
  <c r="R183" i="46" s="1"/>
  <c r="R180" i="47" s="1"/>
  <c r="R182" i="47" s="1"/>
  <c r="R180" i="48" s="1"/>
  <c r="R182" i="48" s="1"/>
  <c r="R180" i="49" s="1"/>
  <c r="R182" i="49" s="1"/>
  <c r="R180" i="50" s="1"/>
  <c r="R182" i="50" s="1"/>
  <c r="R180" i="51" s="1"/>
  <c r="R182" i="51" s="1"/>
  <c r="R180" i="52" s="1"/>
  <c r="T190" i="19"/>
  <c r="T188" i="19"/>
  <c r="T192" i="19"/>
  <c r="R206" i="19"/>
  <c r="T120" i="19"/>
  <c r="T132" i="19" s="1"/>
  <c r="T133" i="19" s="1"/>
  <c r="S240" i="35"/>
  <c r="Q240" i="33"/>
  <c r="Q236" i="33"/>
  <c r="S241" i="32"/>
  <c r="S268" i="30"/>
  <c r="S244" i="31"/>
  <c r="S241" i="30"/>
  <c r="S235" i="30"/>
  <c r="S236" i="30"/>
  <c r="Q237" i="30"/>
  <c r="Q235" i="30"/>
  <c r="Q240" i="30"/>
  <c r="S242" i="30"/>
  <c r="S256" i="30"/>
  <c r="Q236" i="28"/>
  <c r="Q242" i="28"/>
  <c r="Q256" i="27"/>
  <c r="Q244" i="16"/>
  <c r="T167" i="2"/>
  <c r="R130" i="3"/>
  <c r="R130" i="4"/>
  <c r="T189" i="3"/>
  <c r="R131" i="7"/>
  <c r="R270" i="9"/>
  <c r="R270" i="10"/>
  <c r="T169" i="10"/>
  <c r="S235" i="17"/>
  <c r="S244" i="17" s="1"/>
  <c r="T169" i="18"/>
  <c r="T96" i="21"/>
  <c r="T100" i="21" s="1"/>
  <c r="T168" i="22"/>
  <c r="T35" i="25"/>
  <c r="T96" i="27"/>
  <c r="T100" i="27" s="1"/>
  <c r="T169" i="33"/>
  <c r="R283" i="35"/>
  <c r="Q256" i="23"/>
  <c r="R99" i="3"/>
  <c r="T97" i="10"/>
  <c r="T101" i="10" s="1"/>
  <c r="T168" i="26"/>
  <c r="R244" i="28"/>
  <c r="T96" i="28"/>
  <c r="T100" i="28" s="1"/>
  <c r="P244" i="31"/>
  <c r="R132" i="32"/>
  <c r="R132" i="34"/>
  <c r="S250" i="34"/>
  <c r="S265" i="34"/>
  <c r="Q243" i="35"/>
  <c r="Q240" i="35"/>
  <c r="T84" i="34"/>
  <c r="T176" i="34" s="1"/>
  <c r="T175" i="34"/>
  <c r="T174" i="30"/>
  <c r="T187" i="18"/>
  <c r="T189" i="18"/>
  <c r="T120" i="18"/>
  <c r="T132" i="18" s="1"/>
  <c r="T133" i="18" s="1"/>
  <c r="R205" i="18"/>
  <c r="T191" i="18"/>
  <c r="T189" i="23"/>
  <c r="T187" i="23"/>
  <c r="T119" i="23"/>
  <c r="T131" i="23" s="1"/>
  <c r="T132" i="23" s="1"/>
  <c r="T191" i="23"/>
  <c r="R205" i="23"/>
  <c r="L35" i="14"/>
  <c r="T35" i="14" s="1"/>
  <c r="T43" i="14" s="1"/>
  <c r="R203" i="14" s="1"/>
  <c r="R204" i="14" s="1"/>
  <c r="T51" i="14"/>
  <c r="S255" i="32"/>
  <c r="S248" i="32"/>
  <c r="S252" i="32"/>
  <c r="S254" i="32"/>
  <c r="T190" i="35"/>
  <c r="T188" i="35"/>
  <c r="S242" i="35"/>
  <c r="S240" i="32"/>
  <c r="S237" i="32"/>
  <c r="S251" i="32"/>
  <c r="S250" i="32"/>
  <c r="R283" i="32"/>
  <c r="Q240" i="29"/>
  <c r="Q237" i="29"/>
  <c r="T51" i="16"/>
  <c r="S253" i="2"/>
  <c r="S246" i="2"/>
  <c r="S250" i="2"/>
  <c r="R214" i="2"/>
  <c r="S252" i="2"/>
  <c r="S251" i="2"/>
  <c r="S249" i="2"/>
  <c r="S247" i="2"/>
  <c r="Q247" i="7"/>
  <c r="Q249" i="7"/>
  <c r="Q251" i="7"/>
  <c r="Q178" i="7"/>
  <c r="T139" i="7"/>
  <c r="R210" i="7"/>
  <c r="N72" i="7"/>
  <c r="R100" i="6"/>
  <c r="R132" i="6" s="1"/>
  <c r="S241" i="23"/>
  <c r="P72" i="2"/>
  <c r="T69" i="2"/>
  <c r="T72" i="2" s="1"/>
  <c r="T172" i="2" s="1"/>
  <c r="S252" i="3"/>
  <c r="S246" i="3"/>
  <c r="R269" i="3"/>
  <c r="S253" i="3"/>
  <c r="S247" i="3"/>
  <c r="S250" i="3"/>
  <c r="S248" i="3"/>
  <c r="S239" i="35"/>
  <c r="S239" i="32"/>
  <c r="S253" i="32"/>
  <c r="S256" i="15"/>
  <c r="R270" i="5"/>
  <c r="Q238" i="25"/>
  <c r="S256" i="9"/>
  <c r="S251" i="3"/>
  <c r="T36" i="14"/>
  <c r="Q236" i="1"/>
  <c r="Q234" i="1"/>
  <c r="Q239" i="1"/>
  <c r="Q235" i="1"/>
  <c r="Q237" i="1"/>
  <c r="Q240" i="1"/>
  <c r="N35" i="2"/>
  <c r="T35" i="2" s="1"/>
  <c r="T43" i="2" s="1"/>
  <c r="R201" i="2" s="1"/>
  <c r="R202" i="2" s="1"/>
  <c r="T51" i="2"/>
  <c r="T36" i="4"/>
  <c r="T51" i="4"/>
  <c r="Q241" i="6"/>
  <c r="Q235" i="6"/>
  <c r="Q238" i="6"/>
  <c r="Q236" i="6"/>
  <c r="Q234" i="6"/>
  <c r="P269" i="6"/>
  <c r="Q237" i="6"/>
  <c r="Q236" i="9"/>
  <c r="Q242" i="9"/>
  <c r="Q238" i="9"/>
  <c r="Q237" i="9"/>
  <c r="Q216" i="18"/>
  <c r="Q248" i="18"/>
  <c r="Q251" i="18"/>
  <c r="Q252" i="18"/>
  <c r="Q249" i="18"/>
  <c r="Q253" i="18"/>
  <c r="Q250" i="18"/>
  <c r="Q254" i="18"/>
  <c r="S236" i="19"/>
  <c r="S243" i="19"/>
  <c r="S238" i="19"/>
  <c r="S242" i="19"/>
  <c r="S241" i="19"/>
  <c r="S237" i="19"/>
  <c r="T140" i="19"/>
  <c r="T52" i="19"/>
  <c r="S236" i="20"/>
  <c r="S240" i="20"/>
  <c r="S243" i="20"/>
  <c r="S239" i="20"/>
  <c r="S242" i="20"/>
  <c r="S238" i="20"/>
  <c r="R271" i="20"/>
  <c r="T36" i="25"/>
  <c r="T43" i="25"/>
  <c r="R203" i="25" s="1"/>
  <c r="R204" i="25" s="1"/>
  <c r="R244" i="26"/>
  <c r="S242" i="26" s="1"/>
  <c r="P244" i="26"/>
  <c r="Q179" i="27"/>
  <c r="T139" i="27"/>
  <c r="Q254" i="28"/>
  <c r="Q252" i="28"/>
  <c r="Q250" i="28"/>
  <c r="Q248" i="28"/>
  <c r="Q253" i="28"/>
  <c r="Q251" i="28"/>
  <c r="Q249" i="28"/>
  <c r="R282" i="29"/>
  <c r="S249" i="29"/>
  <c r="R213" i="1"/>
  <c r="S249" i="1"/>
  <c r="S245" i="1"/>
  <c r="S246" i="1"/>
  <c r="S247" i="1"/>
  <c r="S250" i="1"/>
  <c r="S248" i="1"/>
  <c r="S251" i="1"/>
  <c r="S235" i="5"/>
  <c r="S241" i="5"/>
  <c r="S236" i="5"/>
  <c r="Q269" i="35"/>
  <c r="S241" i="35"/>
  <c r="S236" i="35"/>
  <c r="S237" i="35"/>
  <c r="Q269" i="34"/>
  <c r="Q238" i="33"/>
  <c r="S238" i="32"/>
  <c r="S236" i="32"/>
  <c r="S240" i="30"/>
  <c r="Q241" i="29"/>
  <c r="S244" i="14"/>
  <c r="S238" i="5"/>
  <c r="S255" i="6"/>
  <c r="S246" i="4"/>
  <c r="Q238" i="27"/>
  <c r="S240" i="5"/>
  <c r="S252" i="1"/>
  <c r="R214" i="3"/>
  <c r="R133" i="9"/>
  <c r="R208" i="1"/>
  <c r="N72" i="1"/>
  <c r="R99" i="2"/>
  <c r="R131" i="2" s="1"/>
  <c r="T36" i="2"/>
  <c r="T96" i="4"/>
  <c r="T99" i="4" s="1"/>
  <c r="T189" i="4" s="1"/>
  <c r="Q251" i="5"/>
  <c r="Q249" i="5"/>
  <c r="Q254" i="5"/>
  <c r="Q252" i="5"/>
  <c r="Q250" i="5"/>
  <c r="Q247" i="5"/>
  <c r="Q215" i="5"/>
  <c r="P270" i="5"/>
  <c r="T36" i="6"/>
  <c r="T52" i="8"/>
  <c r="Q179" i="8"/>
  <c r="T140" i="8"/>
  <c r="R211" i="8"/>
  <c r="N72" i="8"/>
  <c r="T69" i="8"/>
  <c r="T72" i="8" s="1"/>
  <c r="T85" i="8" s="1"/>
  <c r="T175" i="8" s="1"/>
  <c r="S256" i="24"/>
  <c r="R99" i="1"/>
  <c r="T36" i="1"/>
  <c r="T167" i="3"/>
  <c r="T168" i="7"/>
  <c r="T69" i="9"/>
  <c r="T72" i="9" s="1"/>
  <c r="P72" i="9"/>
  <c r="Q241" i="15"/>
  <c r="Q237" i="15"/>
  <c r="Q236" i="19"/>
  <c r="Q237" i="19"/>
  <c r="Q240" i="19"/>
  <c r="Q243" i="19"/>
  <c r="Q179" i="21"/>
  <c r="T52" i="21"/>
  <c r="T139" i="21"/>
  <c r="T181" i="21"/>
  <c r="R123" i="21"/>
  <c r="R131" i="21" s="1"/>
  <c r="R216" i="23"/>
  <c r="S259" i="23"/>
  <c r="S262" i="23"/>
  <c r="S263" i="23"/>
  <c r="S266" i="23"/>
  <c r="S260" i="23"/>
  <c r="S264" i="23"/>
  <c r="T35" i="19"/>
  <c r="T43" i="19" s="1"/>
  <c r="R204" i="19" s="1"/>
  <c r="R205" i="19" s="1"/>
  <c r="Q256" i="16"/>
  <c r="R124" i="17"/>
  <c r="R132" i="17" s="1"/>
  <c r="R133" i="17" s="1"/>
  <c r="T181" i="17"/>
  <c r="T52" i="22"/>
  <c r="T139" i="22"/>
  <c r="Q179" i="22"/>
  <c r="S249" i="22"/>
  <c r="S253" i="22"/>
  <c r="S250" i="22"/>
  <c r="S254" i="22"/>
  <c r="S247" i="22"/>
  <c r="S251" i="22"/>
  <c r="T35" i="22"/>
  <c r="T43" i="22" s="1"/>
  <c r="R203" i="22" s="1"/>
  <c r="R204" i="22" s="1"/>
  <c r="T97" i="5"/>
  <c r="T100" i="5" s="1"/>
  <c r="R220" i="2"/>
  <c r="R220" i="3" s="1"/>
  <c r="R220" i="4" s="1"/>
  <c r="R221" i="5" s="1"/>
  <c r="T97" i="7"/>
  <c r="T100" i="7" s="1"/>
  <c r="P270" i="18"/>
  <c r="R101" i="19"/>
  <c r="R133" i="19" s="1"/>
  <c r="Q217" i="20"/>
  <c r="P271" i="20"/>
  <c r="Q254" i="20"/>
  <c r="Q257" i="20" s="1"/>
  <c r="T68" i="24"/>
  <c r="T71" i="24" s="1"/>
  <c r="R211" i="24"/>
  <c r="T35" i="32"/>
  <c r="T43" i="32" s="1"/>
  <c r="R204" i="32" s="1"/>
  <c r="R205" i="32" s="1"/>
  <c r="R245" i="34"/>
  <c r="S239" i="34" s="1"/>
  <c r="S248" i="17"/>
  <c r="Q239" i="18"/>
  <c r="Q235" i="18"/>
  <c r="Q239" i="20"/>
  <c r="Q245" i="20" s="1"/>
  <c r="R100" i="23"/>
  <c r="T43" i="24"/>
  <c r="R203" i="24" s="1"/>
  <c r="R204" i="24" s="1"/>
  <c r="S247" i="25"/>
  <c r="T96" i="25"/>
  <c r="T100" i="25" s="1"/>
  <c r="T191" i="25" s="1"/>
  <c r="T35" i="27"/>
  <c r="T43" i="27" s="1"/>
  <c r="R203" i="27" s="1"/>
  <c r="R204" i="27" s="1"/>
  <c r="S266" i="28"/>
  <c r="T36" i="30"/>
  <c r="R100" i="21"/>
  <c r="R131" i="22"/>
  <c r="R100" i="22"/>
  <c r="Q260" i="23"/>
  <c r="Q268" i="23" s="1"/>
  <c r="T52" i="30"/>
  <c r="T51" i="31"/>
  <c r="R100" i="34"/>
  <c r="Q254" i="34"/>
  <c r="R100" i="35"/>
  <c r="R133" i="35" s="1"/>
  <c r="R101" i="16"/>
  <c r="T169" i="17"/>
  <c r="T36" i="17"/>
  <c r="T97" i="17"/>
  <c r="T101" i="17" s="1"/>
  <c r="Q241" i="18"/>
  <c r="R282" i="22"/>
  <c r="S262" i="24"/>
  <c r="S268" i="24" s="1"/>
  <c r="T96" i="24"/>
  <c r="T100" i="24" s="1"/>
  <c r="Q254" i="25"/>
  <c r="Q256" i="25" s="1"/>
  <c r="Q179" i="30"/>
  <c r="T96" i="30"/>
  <c r="T100" i="30" s="1"/>
  <c r="Q252" i="31"/>
  <c r="S268" i="31"/>
  <c r="T169" i="32"/>
  <c r="Q251" i="34"/>
  <c r="S269" i="33"/>
  <c r="Q236" i="32"/>
  <c r="S269" i="32"/>
  <c r="Q244" i="8"/>
  <c r="Q177" i="4"/>
  <c r="T138" i="4"/>
  <c r="T52" i="4"/>
  <c r="T187" i="2"/>
  <c r="T118" i="2"/>
  <c r="T130" i="2" s="1"/>
  <c r="T131" i="2" s="1"/>
  <c r="R209" i="4"/>
  <c r="N72" i="4"/>
  <c r="P35" i="5"/>
  <c r="T35" i="5" s="1"/>
  <c r="T43" i="5" s="1"/>
  <c r="R202" i="5" s="1"/>
  <c r="R203" i="5" s="1"/>
  <c r="T36" i="5"/>
  <c r="T51" i="5"/>
  <c r="Q216" i="8"/>
  <c r="Q250" i="8"/>
  <c r="Q254" i="8"/>
  <c r="Q247" i="8"/>
  <c r="Q251" i="8"/>
  <c r="Q248" i="8"/>
  <c r="Q252" i="8"/>
  <c r="P270" i="8"/>
  <c r="Q249" i="8"/>
  <c r="Q253" i="8"/>
  <c r="T189" i="14"/>
  <c r="T187" i="14"/>
  <c r="T191" i="14"/>
  <c r="R205" i="14"/>
  <c r="T132" i="14"/>
  <c r="T133" i="14" s="1"/>
  <c r="P35" i="15"/>
  <c r="T51" i="15"/>
  <c r="T119" i="31"/>
  <c r="T131" i="31" s="1"/>
  <c r="R205" i="31"/>
  <c r="T187" i="31"/>
  <c r="T189" i="31"/>
  <c r="T132" i="31"/>
  <c r="S237" i="25"/>
  <c r="S238" i="25"/>
  <c r="S241" i="25"/>
  <c r="S235" i="25"/>
  <c r="S240" i="25"/>
  <c r="S242" i="25"/>
  <c r="S236" i="25"/>
  <c r="Q234" i="7"/>
  <c r="Q237" i="7"/>
  <c r="Q238" i="7"/>
  <c r="Q239" i="7"/>
  <c r="P269" i="7"/>
  <c r="Q235" i="7"/>
  <c r="Q241" i="7"/>
  <c r="Q236" i="7"/>
  <c r="Q256" i="30"/>
  <c r="Q256" i="29"/>
  <c r="T172" i="4"/>
  <c r="T85" i="2"/>
  <c r="T173" i="2" s="1"/>
  <c r="T185" i="3"/>
  <c r="R203" i="3"/>
  <c r="T187" i="3"/>
  <c r="T118" i="3"/>
  <c r="T130" i="3" s="1"/>
  <c r="T131" i="3" s="1"/>
  <c r="T52" i="2"/>
  <c r="T138" i="2"/>
  <c r="Q177" i="2"/>
  <c r="R209" i="3"/>
  <c r="T69" i="3"/>
  <c r="T72" i="3" s="1"/>
  <c r="S247" i="4"/>
  <c r="S251" i="4"/>
  <c r="S249" i="4"/>
  <c r="S253" i="4"/>
  <c r="S252" i="4"/>
  <c r="S250" i="4"/>
  <c r="R269" i="4"/>
  <c r="S269" i="35"/>
  <c r="J35" i="18"/>
  <c r="T35" i="18" s="1"/>
  <c r="T43" i="18" s="1"/>
  <c r="R203" i="18" s="1"/>
  <c r="R204" i="18" s="1"/>
  <c r="T51" i="18"/>
  <c r="T36" i="18"/>
  <c r="T191" i="31"/>
  <c r="T118" i="1"/>
  <c r="T130" i="1" s="1"/>
  <c r="T131" i="1" s="1"/>
  <c r="T188" i="1"/>
  <c r="T186" i="1"/>
  <c r="R202" i="1"/>
  <c r="T174" i="23"/>
  <c r="T84" i="23"/>
  <c r="T175" i="23" s="1"/>
  <c r="Q240" i="7"/>
  <c r="Q248" i="1"/>
  <c r="Q252" i="1"/>
  <c r="Q251" i="1"/>
  <c r="Q245" i="1"/>
  <c r="Q247" i="1"/>
  <c r="Q250" i="1"/>
  <c r="Q213" i="1"/>
  <c r="Q249" i="1"/>
  <c r="T190" i="7"/>
  <c r="T188" i="7"/>
  <c r="Q241" i="33"/>
  <c r="Q239" i="33"/>
  <c r="Q237" i="33"/>
  <c r="S243" i="32"/>
  <c r="Q240" i="28"/>
  <c r="Q237" i="28"/>
  <c r="S236" i="2"/>
  <c r="S239" i="2"/>
  <c r="Q253" i="3"/>
  <c r="Q249" i="3"/>
  <c r="Q252" i="3"/>
  <c r="Q246" i="3"/>
  <c r="Q251" i="3"/>
  <c r="Q214" i="3"/>
  <c r="Q248" i="3"/>
  <c r="T119" i="7"/>
  <c r="T131" i="7" s="1"/>
  <c r="T132" i="7" s="1"/>
  <c r="T36" i="8"/>
  <c r="H35" i="8"/>
  <c r="T35" i="8" s="1"/>
  <c r="T43" i="8" s="1"/>
  <c r="R203" i="8" s="1"/>
  <c r="R204" i="8" s="1"/>
  <c r="Q238" i="14"/>
  <c r="Q239" i="14"/>
  <c r="Q241" i="14"/>
  <c r="Q236" i="14"/>
  <c r="Q242" i="14"/>
  <c r="S238" i="30"/>
  <c r="S235" i="1"/>
  <c r="R268" i="1"/>
  <c r="S240" i="1"/>
  <c r="S234" i="1"/>
  <c r="S239" i="1"/>
  <c r="S233" i="1"/>
  <c r="T138" i="3"/>
  <c r="Q177" i="3"/>
  <c r="R99" i="4"/>
  <c r="T69" i="5"/>
  <c r="T72" i="5" s="1"/>
  <c r="N72" i="5"/>
  <c r="R269" i="6"/>
  <c r="T51" i="6"/>
  <c r="J35" i="6"/>
  <c r="T35" i="6" s="1"/>
  <c r="T43" i="6" s="1"/>
  <c r="R202" i="6" s="1"/>
  <c r="R203" i="6" s="1"/>
  <c r="T35" i="7"/>
  <c r="T43" i="7" s="1"/>
  <c r="R202" i="7" s="1"/>
  <c r="R203" i="7" s="1"/>
  <c r="R100" i="7"/>
  <c r="R132" i="7" s="1"/>
  <c r="T36" i="9"/>
  <c r="T52" i="14"/>
  <c r="Q179" i="14"/>
  <c r="T140" i="14"/>
  <c r="T35" i="16"/>
  <c r="T43" i="16" s="1"/>
  <c r="R203" i="16" s="1"/>
  <c r="R204" i="16" s="1"/>
  <c r="R211" i="16"/>
  <c r="T69" i="16"/>
  <c r="T72" i="16" s="1"/>
  <c r="Q242" i="33"/>
  <c r="R269" i="2"/>
  <c r="T35" i="4"/>
  <c r="T43" i="4" s="1"/>
  <c r="R201" i="4" s="1"/>
  <c r="R202" i="4" s="1"/>
  <c r="J35" i="10"/>
  <c r="T35" i="10" s="1"/>
  <c r="T43" i="10" s="1"/>
  <c r="R203" i="10" s="1"/>
  <c r="R204" i="10" s="1"/>
  <c r="T36" i="10"/>
  <c r="F35" i="23"/>
  <c r="T36" i="23"/>
  <c r="T189" i="25"/>
  <c r="S252" i="14"/>
  <c r="S256" i="14" s="1"/>
  <c r="R216" i="14"/>
  <c r="R216" i="17"/>
  <c r="S250" i="17"/>
  <c r="S254" i="17"/>
  <c r="S252" i="17"/>
  <c r="Q178" i="2"/>
  <c r="T179" i="1"/>
  <c r="R101" i="20"/>
  <c r="R133" i="20" s="1"/>
  <c r="Q247" i="21"/>
  <c r="Q253" i="21"/>
  <c r="T51" i="22"/>
  <c r="R211" i="22"/>
  <c r="T68" i="22"/>
  <c r="T71" i="22" s="1"/>
  <c r="N71" i="22"/>
  <c r="H35" i="15"/>
  <c r="T36" i="15"/>
  <c r="Q250" i="19"/>
  <c r="Q249" i="19"/>
  <c r="Q254" i="19"/>
  <c r="Q217" i="19"/>
  <c r="Q251" i="19"/>
  <c r="Q252" i="19"/>
  <c r="P271" i="19"/>
  <c r="R244" i="22"/>
  <c r="T168" i="24"/>
  <c r="J35" i="17"/>
  <c r="T35" i="17" s="1"/>
  <c r="T43" i="17" s="1"/>
  <c r="R203" i="17" s="1"/>
  <c r="R204" i="17" s="1"/>
  <c r="T51" i="17"/>
  <c r="S250" i="18"/>
  <c r="S252" i="18"/>
  <c r="R216" i="18"/>
  <c r="R217" i="20"/>
  <c r="S250" i="20"/>
  <c r="S253" i="20"/>
  <c r="S251" i="20"/>
  <c r="S248" i="20"/>
  <c r="S254" i="20"/>
  <c r="R123" i="23"/>
  <c r="R131" i="23" s="1"/>
  <c r="T181" i="23"/>
  <c r="P244" i="23"/>
  <c r="T139" i="24"/>
  <c r="Q179" i="24"/>
  <c r="T52" i="24"/>
  <c r="Q249" i="24"/>
  <c r="R216" i="26"/>
  <c r="R100" i="27"/>
  <c r="R132" i="27" s="1"/>
  <c r="Q266" i="29"/>
  <c r="Q268" i="29" s="1"/>
  <c r="Q216" i="29"/>
  <c r="Q266" i="30"/>
  <c r="Q268" i="30" s="1"/>
  <c r="Q216" i="30"/>
  <c r="R211" i="27"/>
  <c r="N71" i="27"/>
  <c r="T68" i="27"/>
  <c r="T71" i="27" s="1"/>
  <c r="P71" i="31"/>
  <c r="T68" i="31"/>
  <c r="T71" i="31" s="1"/>
  <c r="T35" i="34"/>
  <c r="T43" i="34" s="1"/>
  <c r="R204" i="34" s="1"/>
  <c r="R205" i="34" s="1"/>
  <c r="P245" i="34"/>
  <c r="Q237" i="36"/>
  <c r="Q241" i="36"/>
  <c r="Q242" i="36"/>
  <c r="Q239" i="36"/>
  <c r="Q243" i="36"/>
  <c r="Q236" i="36"/>
  <c r="T51" i="28"/>
  <c r="Q259" i="28"/>
  <c r="Q265" i="28"/>
  <c r="Q263" i="28"/>
  <c r="Q261" i="28"/>
  <c r="Q266" i="28"/>
  <c r="Q264" i="28"/>
  <c r="Q262" i="28"/>
  <c r="Q260" i="28"/>
  <c r="Q216" i="28"/>
  <c r="T35" i="30"/>
  <c r="T43" i="30" s="1"/>
  <c r="R203" i="30" s="1"/>
  <c r="R204" i="30" s="1"/>
  <c r="S253" i="31"/>
  <c r="S251" i="31"/>
  <c r="S249" i="31"/>
  <c r="S247" i="31"/>
  <c r="S254" i="31"/>
  <c r="S252" i="31"/>
  <c r="S250" i="31"/>
  <c r="S248" i="31"/>
  <c r="T51" i="32"/>
  <c r="R100" i="33"/>
  <c r="R133" i="33" s="1"/>
  <c r="T169" i="34"/>
  <c r="T84" i="35"/>
  <c r="T176" i="35" s="1"/>
  <c r="Q240" i="36"/>
  <c r="Q266" i="32"/>
  <c r="S252" i="34"/>
  <c r="S254" i="34"/>
  <c r="Q251" i="31"/>
  <c r="Q253" i="31"/>
  <c r="Q264" i="32"/>
  <c r="S269" i="36"/>
  <c r="S249" i="34"/>
  <c r="S251" i="34"/>
  <c r="S253" i="34"/>
  <c r="S242" i="36"/>
  <c r="S236" i="36"/>
  <c r="S240" i="36"/>
  <c r="S243" i="36"/>
  <c r="S241" i="36"/>
  <c r="S239" i="36"/>
  <c r="Q238" i="36"/>
  <c r="S257" i="36"/>
  <c r="Q257" i="36"/>
  <c r="S240" i="33" l="1"/>
  <c r="S243" i="7"/>
  <c r="S256" i="26"/>
  <c r="S268" i="22"/>
  <c r="T174" i="8"/>
  <c r="T174" i="17"/>
  <c r="R132" i="23"/>
  <c r="S244" i="15"/>
  <c r="S244" i="9"/>
  <c r="S243" i="6"/>
  <c r="S256" i="5"/>
  <c r="S243" i="4"/>
  <c r="S257" i="33"/>
  <c r="S256" i="23"/>
  <c r="S242" i="33"/>
  <c r="T35" i="21"/>
  <c r="T43" i="21" s="1"/>
  <c r="R203" i="21" s="1"/>
  <c r="R204" i="21" s="1"/>
  <c r="Q256" i="14"/>
  <c r="Q257" i="35"/>
  <c r="Q243" i="6"/>
  <c r="S256" i="21"/>
  <c r="Q256" i="10"/>
  <c r="Q256" i="9"/>
  <c r="Q240" i="32"/>
  <c r="Q243" i="32"/>
  <c r="S256" i="25"/>
  <c r="S237" i="27"/>
  <c r="Q239" i="25"/>
  <c r="S237" i="23"/>
  <c r="Q255" i="7"/>
  <c r="Q235" i="25"/>
  <c r="T186" i="6"/>
  <c r="S244" i="10"/>
  <c r="T84" i="29"/>
  <c r="T175" i="29" s="1"/>
  <c r="Q268" i="27"/>
  <c r="Q268" i="22"/>
  <c r="Q242" i="22"/>
  <c r="Q240" i="22"/>
  <c r="Q241" i="32"/>
  <c r="S236" i="23"/>
  <c r="S241" i="29"/>
  <c r="T187" i="26"/>
  <c r="S239" i="23"/>
  <c r="Q240" i="25"/>
  <c r="Q256" i="26"/>
  <c r="T187" i="16"/>
  <c r="Q241" i="22"/>
  <c r="Q235" i="22"/>
  <c r="Q237" i="22"/>
  <c r="Q242" i="32"/>
  <c r="T35" i="23"/>
  <c r="T43" i="23" s="1"/>
  <c r="R203" i="23" s="1"/>
  <c r="R204" i="23" s="1"/>
  <c r="T84" i="26"/>
  <c r="T175" i="26" s="1"/>
  <c r="Q239" i="32"/>
  <c r="Q245" i="32" s="1"/>
  <c r="Q237" i="32"/>
  <c r="R205" i="25"/>
  <c r="T118" i="4"/>
  <c r="T130" i="4" s="1"/>
  <c r="T131" i="4" s="1"/>
  <c r="R131" i="1"/>
  <c r="Q242" i="25"/>
  <c r="S240" i="23"/>
  <c r="S238" i="23"/>
  <c r="S235" i="27"/>
  <c r="S235" i="23"/>
  <c r="T187" i="9"/>
  <c r="Q244" i="10"/>
  <c r="Q256" i="22"/>
  <c r="T187" i="22"/>
  <c r="Q238" i="22"/>
  <c r="T185" i="4"/>
  <c r="T119" i="26"/>
  <c r="T131" i="26" s="1"/>
  <c r="T132" i="26" s="1"/>
  <c r="S257" i="32"/>
  <c r="Q238" i="35"/>
  <c r="Q237" i="35"/>
  <c r="R133" i="32"/>
  <c r="T191" i="16"/>
  <c r="Q243" i="3"/>
  <c r="Q255" i="2"/>
  <c r="Q268" i="25"/>
  <c r="T191" i="9"/>
  <c r="Q237" i="25"/>
  <c r="Q268" i="31"/>
  <c r="R205" i="16"/>
  <c r="T119" i="22"/>
  <c r="T131" i="22" s="1"/>
  <c r="T132" i="22" s="1"/>
  <c r="Q256" i="24"/>
  <c r="Q239" i="35"/>
  <c r="T84" i="25"/>
  <c r="T175" i="25" s="1"/>
  <c r="Q257" i="34"/>
  <c r="R132" i="21"/>
  <c r="T191" i="26"/>
  <c r="R205" i="9"/>
  <c r="Q236" i="35"/>
  <c r="S269" i="34"/>
  <c r="S238" i="29"/>
  <c r="T189" i="9"/>
  <c r="Q236" i="25"/>
  <c r="Q244" i="25" s="1"/>
  <c r="T191" i="22"/>
  <c r="S237" i="33"/>
  <c r="S236" i="33"/>
  <c r="S243" i="33"/>
  <c r="R133" i="16"/>
  <c r="T84" i="21"/>
  <c r="T175" i="21" s="1"/>
  <c r="R205" i="26"/>
  <c r="Q242" i="35"/>
  <c r="T189" i="22"/>
  <c r="T119" i="29"/>
  <c r="T131" i="29" s="1"/>
  <c r="T132" i="29" s="1"/>
  <c r="R205" i="29"/>
  <c r="Q256" i="17"/>
  <c r="Q244" i="15"/>
  <c r="S256" i="10"/>
  <c r="S268" i="28"/>
  <c r="R133" i="14"/>
  <c r="S244" i="8"/>
  <c r="R206" i="33"/>
  <c r="T188" i="33"/>
  <c r="Q255" i="6"/>
  <c r="S244" i="21"/>
  <c r="Q256" i="15"/>
  <c r="Q269" i="33"/>
  <c r="S256" i="27"/>
  <c r="S235" i="24"/>
  <c r="Q257" i="32"/>
  <c r="T120" i="32"/>
  <c r="T132" i="32" s="1"/>
  <c r="T133" i="32" s="1"/>
  <c r="T192" i="32"/>
  <c r="T190" i="20"/>
  <c r="T192" i="20"/>
  <c r="T120" i="20"/>
  <c r="T132" i="20" s="1"/>
  <c r="T133" i="20" s="1"/>
  <c r="R206" i="20"/>
  <c r="S242" i="29"/>
  <c r="T174" i="18"/>
  <c r="T85" i="18"/>
  <c r="T175" i="18" s="1"/>
  <c r="S240" i="29"/>
  <c r="T35" i="15"/>
  <c r="T43" i="15" s="1"/>
  <c r="R203" i="15" s="1"/>
  <c r="R204" i="15" s="1"/>
  <c r="Q244" i="29"/>
  <c r="S245" i="35"/>
  <c r="S255" i="2"/>
  <c r="Q235" i="27"/>
  <c r="R204" i="6"/>
  <c r="S268" i="26"/>
  <c r="S256" i="8"/>
  <c r="T190" i="32"/>
  <c r="S256" i="29"/>
  <c r="S256" i="28"/>
  <c r="S236" i="29"/>
  <c r="S244" i="16"/>
  <c r="T85" i="7"/>
  <c r="T174" i="7" s="1"/>
  <c r="T173" i="7"/>
  <c r="S242" i="1"/>
  <c r="S244" i="30"/>
  <c r="S239" i="29"/>
  <c r="T188" i="20"/>
  <c r="Q236" i="27"/>
  <c r="Q241" i="27"/>
  <c r="T190" i="6"/>
  <c r="T188" i="6"/>
  <c r="Q244" i="30"/>
  <c r="Q244" i="17"/>
  <c r="S256" i="16"/>
  <c r="Q243" i="2"/>
  <c r="Q268" i="24"/>
  <c r="Q244" i="24"/>
  <c r="R133" i="18"/>
  <c r="R131" i="4"/>
  <c r="R133" i="34"/>
  <c r="S255" i="3"/>
  <c r="S235" i="29"/>
  <c r="R206" i="32"/>
  <c r="T85" i="10"/>
  <c r="T175" i="10" s="1"/>
  <c r="Q257" i="33"/>
  <c r="S257" i="35"/>
  <c r="Q244" i="5"/>
  <c r="Q255" i="4"/>
  <c r="Q243" i="4"/>
  <c r="T175" i="32"/>
  <c r="T84" i="32"/>
  <c r="T176" i="32" s="1"/>
  <c r="T84" i="28"/>
  <c r="T175" i="28" s="1"/>
  <c r="T173" i="6"/>
  <c r="T85" i="6"/>
  <c r="T174" i="6" s="1"/>
  <c r="T175" i="33"/>
  <c r="T84" i="33"/>
  <c r="T176" i="33" s="1"/>
  <c r="S241" i="27"/>
  <c r="S238" i="27"/>
  <c r="T85" i="14"/>
  <c r="T175" i="14" s="1"/>
  <c r="T174" i="14"/>
  <c r="Q245" i="36"/>
  <c r="T187" i="25"/>
  <c r="T119" i="25"/>
  <c r="T131" i="25" s="1"/>
  <c r="T132" i="25" s="1"/>
  <c r="S245" i="32"/>
  <c r="T189" i="2"/>
  <c r="R203" i="2"/>
  <c r="S256" i="22"/>
  <c r="S239" i="27"/>
  <c r="S240" i="27"/>
  <c r="R182" i="52"/>
  <c r="R180" i="53" s="1"/>
  <c r="R182" i="53" s="1"/>
  <c r="R180" i="54" s="1"/>
  <c r="R182" i="54" s="1"/>
  <c r="R180" i="55" s="1"/>
  <c r="R182" i="55" s="1"/>
  <c r="R180" i="56" s="1"/>
  <c r="R182" i="56" s="1"/>
  <c r="R180" i="57" s="1"/>
  <c r="R182" i="57" s="1"/>
  <c r="R183" i="58" s="1"/>
  <c r="R185" i="58" s="1"/>
  <c r="R183" i="59" s="1"/>
  <c r="R185" i="59" s="1"/>
  <c r="R183" i="60" s="1"/>
  <c r="R185" i="60" s="1"/>
  <c r="R183" i="61" s="1"/>
  <c r="R185" i="61" s="1"/>
  <c r="R184" i="62" s="1"/>
  <c r="R186" i="62" s="1"/>
  <c r="T174" i="15"/>
  <c r="T85" i="15"/>
  <c r="T175" i="15" s="1"/>
  <c r="R205" i="8"/>
  <c r="T191" i="8"/>
  <c r="T189" i="8"/>
  <c r="T120" i="8"/>
  <c r="T132" i="8" s="1"/>
  <c r="T133" i="8" s="1"/>
  <c r="T187" i="8"/>
  <c r="T85" i="20"/>
  <c r="T176" i="20" s="1"/>
  <c r="T175" i="20"/>
  <c r="R197" i="1"/>
  <c r="R198" i="1" s="1"/>
  <c r="R200" i="1"/>
  <c r="R201" i="1" s="1"/>
  <c r="S268" i="29"/>
  <c r="Q237" i="27"/>
  <c r="Q239" i="27"/>
  <c r="Q240" i="27"/>
  <c r="S242" i="27"/>
  <c r="S240" i="24"/>
  <c r="S242" i="24"/>
  <c r="S236" i="24"/>
  <c r="S238" i="24"/>
  <c r="S239" i="24"/>
  <c r="S241" i="24"/>
  <c r="Q245" i="19"/>
  <c r="Q256" i="28"/>
  <c r="Q244" i="9"/>
  <c r="Q237" i="31"/>
  <c r="Q239" i="31"/>
  <c r="Q241" i="31"/>
  <c r="Q235" i="31"/>
  <c r="Q236" i="31"/>
  <c r="Q240" i="31"/>
  <c r="Q238" i="31"/>
  <c r="Q242" i="31"/>
  <c r="S241" i="28"/>
  <c r="S237" i="28"/>
  <c r="S242" i="28"/>
  <c r="S238" i="28"/>
  <c r="S239" i="28"/>
  <c r="S235" i="28"/>
  <c r="S240" i="28"/>
  <c r="S236" i="28"/>
  <c r="T191" i="10"/>
  <c r="T189" i="10"/>
  <c r="T120" i="10"/>
  <c r="T132" i="10" s="1"/>
  <c r="T133" i="10" s="1"/>
  <c r="T187" i="10"/>
  <c r="R205" i="10"/>
  <c r="T119" i="21"/>
  <c r="T131" i="21" s="1"/>
  <c r="T132" i="21" s="1"/>
  <c r="T189" i="21"/>
  <c r="R205" i="21"/>
  <c r="T191" i="21"/>
  <c r="T187" i="21"/>
  <c r="Q244" i="14"/>
  <c r="Q255" i="3"/>
  <c r="Q256" i="5"/>
  <c r="S238" i="26"/>
  <c r="Q256" i="18"/>
  <c r="T189" i="28"/>
  <c r="T191" i="28"/>
  <c r="R205" i="28"/>
  <c r="T187" i="28"/>
  <c r="T119" i="28"/>
  <c r="T131" i="28" s="1"/>
  <c r="T132" i="28" s="1"/>
  <c r="T187" i="27"/>
  <c r="T191" i="27"/>
  <c r="T189" i="27"/>
  <c r="T119" i="27"/>
  <c r="T131" i="27" s="1"/>
  <c r="T132" i="27" s="1"/>
  <c r="R205" i="27"/>
  <c r="R131" i="3"/>
  <c r="S256" i="31"/>
  <c r="S256" i="17"/>
  <c r="Q244" i="28"/>
  <c r="Q245" i="33"/>
  <c r="T174" i="24"/>
  <c r="T84" i="24"/>
  <c r="T175" i="24" s="1"/>
  <c r="T188" i="5"/>
  <c r="T119" i="5"/>
  <c r="T131" i="5" s="1"/>
  <c r="T132" i="5" s="1"/>
  <c r="T186" i="5"/>
  <c r="T190" i="5"/>
  <c r="R204" i="5"/>
  <c r="S268" i="23"/>
  <c r="R203" i="4"/>
  <c r="T187" i="4"/>
  <c r="Q242" i="1"/>
  <c r="Q269" i="32"/>
  <c r="Q254" i="1"/>
  <c r="S243" i="34"/>
  <c r="S241" i="34"/>
  <c r="S242" i="34"/>
  <c r="S237" i="34"/>
  <c r="S236" i="34"/>
  <c r="S240" i="34"/>
  <c r="S238" i="34"/>
  <c r="Q235" i="26"/>
  <c r="Q242" i="26"/>
  <c r="Q238" i="26"/>
  <c r="Q240" i="26"/>
  <c r="Q236" i="26"/>
  <c r="Q241" i="26"/>
  <c r="Q239" i="26"/>
  <c r="Q237" i="26"/>
  <c r="S245" i="20"/>
  <c r="S245" i="19"/>
  <c r="T119" i="24"/>
  <c r="T131" i="24" s="1"/>
  <c r="T132" i="24" s="1"/>
  <c r="T187" i="24"/>
  <c r="R205" i="24"/>
  <c r="T189" i="24"/>
  <c r="T191" i="24"/>
  <c r="Q244" i="18"/>
  <c r="T186" i="7"/>
  <c r="R204" i="7"/>
  <c r="T174" i="9"/>
  <c r="T85" i="9"/>
  <c r="T175" i="9" s="1"/>
  <c r="S254" i="1"/>
  <c r="S257" i="20"/>
  <c r="S243" i="2"/>
  <c r="T191" i="30"/>
  <c r="T187" i="30"/>
  <c r="T119" i="30"/>
  <c r="T131" i="30" s="1"/>
  <c r="T132" i="30" s="1"/>
  <c r="T189" i="30"/>
  <c r="R205" i="30"/>
  <c r="T120" i="17"/>
  <c r="T132" i="17" s="1"/>
  <c r="T133" i="17" s="1"/>
  <c r="T189" i="17"/>
  <c r="R205" i="17"/>
  <c r="T187" i="17"/>
  <c r="T191" i="17"/>
  <c r="R132" i="22"/>
  <c r="S244" i="5"/>
  <c r="S241" i="26"/>
  <c r="S240" i="26"/>
  <c r="S235" i="26"/>
  <c r="S236" i="26"/>
  <c r="S237" i="26"/>
  <c r="S239" i="26"/>
  <c r="T174" i="31"/>
  <c r="T84" i="31"/>
  <c r="T175" i="31" s="1"/>
  <c r="Q236" i="23"/>
  <c r="Q235" i="23"/>
  <c r="Q240" i="23"/>
  <c r="Q237" i="23"/>
  <c r="Q238" i="23"/>
  <c r="Q241" i="23"/>
  <c r="Q239" i="23"/>
  <c r="Q242" i="23"/>
  <c r="Q180" i="2"/>
  <c r="T178" i="2"/>
  <c r="S237" i="22"/>
  <c r="S240" i="22"/>
  <c r="S236" i="22"/>
  <c r="S242" i="22"/>
  <c r="S238" i="22"/>
  <c r="S235" i="22"/>
  <c r="S239" i="22"/>
  <c r="S241" i="22"/>
  <c r="T174" i="22"/>
  <c r="T84" i="22"/>
  <c r="T175" i="22" s="1"/>
  <c r="Q256" i="21"/>
  <c r="Q268" i="28"/>
  <c r="T174" i="27"/>
  <c r="T84" i="27"/>
  <c r="T175" i="27" s="1"/>
  <c r="Q181" i="2"/>
  <c r="Q256" i="8"/>
  <c r="T85" i="5"/>
  <c r="T174" i="5" s="1"/>
  <c r="T173" i="5"/>
  <c r="T85" i="3"/>
  <c r="T173" i="3" s="1"/>
  <c r="T172" i="3"/>
  <c r="Q239" i="34"/>
  <c r="Q240" i="34"/>
  <c r="Q237" i="34"/>
  <c r="Q242" i="34"/>
  <c r="Q238" i="34"/>
  <c r="Q241" i="34"/>
  <c r="Q236" i="34"/>
  <c r="Q243" i="34"/>
  <c r="S257" i="34"/>
  <c r="Q256" i="31"/>
  <c r="S256" i="18"/>
  <c r="Q257" i="19"/>
  <c r="T85" i="16"/>
  <c r="T175" i="16" s="1"/>
  <c r="T174" i="16"/>
  <c r="S255" i="4"/>
  <c r="Q243" i="7"/>
  <c r="S244" i="25"/>
  <c r="S245" i="36"/>
  <c r="S245" i="33" l="1"/>
  <c r="S244" i="23"/>
  <c r="Q244" i="22"/>
  <c r="S244" i="29"/>
  <c r="Q245" i="35"/>
  <c r="Q244" i="27"/>
  <c r="S244" i="24"/>
  <c r="S244" i="27"/>
  <c r="S245" i="34"/>
  <c r="S244" i="28"/>
  <c r="Q244" i="31"/>
  <c r="Q244" i="23"/>
  <c r="S244" i="26"/>
  <c r="Q244" i="26"/>
  <c r="Q178" i="3"/>
  <c r="T180" i="2"/>
  <c r="S244" i="22"/>
  <c r="Q245" i="34"/>
  <c r="T178" i="3" l="1"/>
  <c r="Q180" i="3"/>
  <c r="Q178" i="4" l="1"/>
  <c r="T180" i="3"/>
  <c r="Q181" i="3"/>
  <c r="T178" i="4" l="1"/>
  <c r="Q180" i="4"/>
  <c r="T180" i="4" l="1"/>
  <c r="Q179" i="5"/>
  <c r="Q181" i="4"/>
  <c r="T179" i="5" l="1"/>
  <c r="Q181" i="5"/>
  <c r="Q179" i="6" l="1"/>
  <c r="T181" i="5"/>
  <c r="Q182" i="5"/>
  <c r="Q181" i="6" l="1"/>
  <c r="T179" i="6"/>
  <c r="T181" i="6" l="1"/>
  <c r="Q179" i="7"/>
  <c r="Q182" i="6"/>
  <c r="Q181" i="7" l="1"/>
  <c r="T179" i="7"/>
  <c r="Q180" i="8" l="1"/>
  <c r="T181" i="7"/>
  <c r="Q182" i="7"/>
  <c r="T180" i="8" l="1"/>
  <c r="Q182" i="8"/>
  <c r="Q180" i="9" l="1"/>
  <c r="T182" i="8"/>
  <c r="Q183" i="8"/>
  <c r="Q182" i="9" l="1"/>
  <c r="T180" i="9"/>
  <c r="T182" i="9" l="1"/>
  <c r="Q180" i="10"/>
  <c r="Q183" i="9"/>
  <c r="Q182" i="10" l="1"/>
  <c r="T180" i="10"/>
  <c r="Q180" i="14" l="1"/>
  <c r="Q183" i="10"/>
  <c r="T182" i="10"/>
  <c r="Q182" i="14" l="1"/>
  <c r="T180" i="14"/>
  <c r="T182" i="14" l="1"/>
  <c r="Q180" i="15"/>
  <c r="Q183" i="14"/>
  <c r="Q182" i="15" l="1"/>
  <c r="T180" i="15"/>
  <c r="T182" i="15" l="1"/>
  <c r="Q183" i="15"/>
  <c r="Q180" i="16"/>
  <c r="T180" i="16" l="1"/>
  <c r="Q182" i="16"/>
  <c r="Q180" i="17" l="1"/>
  <c r="T182" i="16"/>
  <c r="Q183" i="16"/>
  <c r="Q182" i="17" l="1"/>
  <c r="T180" i="17"/>
  <c r="Q180" i="18" l="1"/>
  <c r="Q183" i="17"/>
  <c r="T182" i="17"/>
  <c r="Q182" i="18" l="1"/>
  <c r="T180" i="18"/>
  <c r="T182" i="18" l="1"/>
  <c r="Q183" i="18"/>
  <c r="Q181" i="19"/>
  <c r="Q183" i="19" l="1"/>
  <c r="T181" i="19"/>
  <c r="Q184" i="19" l="1"/>
  <c r="T183" i="19"/>
  <c r="Q181" i="20"/>
  <c r="T181" i="20" l="1"/>
  <c r="Q183" i="20"/>
  <c r="T183" i="20" l="1"/>
  <c r="Q180" i="21"/>
  <c r="Q184" i="20"/>
  <c r="Q182" i="21" l="1"/>
  <c r="T180" i="21"/>
  <c r="Q180" i="22" l="1"/>
  <c r="T182" i="21"/>
  <c r="Q183" i="21"/>
  <c r="Q182" i="22" l="1"/>
  <c r="T180" i="22"/>
  <c r="T182" i="22" l="1"/>
  <c r="Q183" i="22"/>
  <c r="Q180" i="23"/>
  <c r="Q182" i="23" l="1"/>
  <c r="T180" i="23"/>
  <c r="Q183" i="23" l="1"/>
  <c r="T182" i="23"/>
  <c r="Q180" i="24"/>
  <c r="Q182" i="24" l="1"/>
  <c r="T180" i="24"/>
  <c r="Q180" i="25" l="1"/>
  <c r="T182" i="24"/>
  <c r="Q183" i="24"/>
  <c r="Q182" i="25" l="1"/>
  <c r="T180" i="25"/>
  <c r="Q180" i="26" l="1"/>
  <c r="T182" i="25"/>
  <c r="Q183" i="25"/>
  <c r="Q182" i="26" l="1"/>
  <c r="T180" i="26"/>
  <c r="Q183" i="26" l="1"/>
  <c r="Q180" i="27"/>
  <c r="T182" i="26"/>
  <c r="Q182" i="27" l="1"/>
  <c r="T180" i="27"/>
  <c r="Q180" i="28" l="1"/>
  <c r="T182" i="27"/>
  <c r="Q183" i="27"/>
  <c r="Q182" i="28" l="1"/>
  <c r="T180" i="28"/>
  <c r="Q180" i="29" l="1"/>
  <c r="T182" i="28"/>
  <c r="Q183" i="28"/>
  <c r="Q182" i="29" l="1"/>
  <c r="T180" i="29"/>
  <c r="Q180" i="30" l="1"/>
  <c r="T182" i="29"/>
  <c r="Q183" i="29"/>
  <c r="Q182" i="30" l="1"/>
  <c r="T180" i="30"/>
  <c r="Q180" i="31" l="1"/>
  <c r="Q183" i="30"/>
  <c r="T182" i="30"/>
  <c r="Q182" i="31" l="1"/>
  <c r="T180" i="31"/>
  <c r="T182" i="31" l="1"/>
  <c r="Q181" i="32"/>
  <c r="Q183" i="31"/>
  <c r="T181" i="32" l="1"/>
  <c r="Q183" i="32"/>
  <c r="Q181" i="33" l="1"/>
  <c r="T183" i="32"/>
  <c r="Q184" i="32"/>
  <c r="Q183" i="33" l="1"/>
  <c r="T181" i="33"/>
  <c r="Q181" i="34" l="1"/>
  <c r="T183" i="33"/>
  <c r="Q184" i="33"/>
  <c r="Q183" i="34" l="1"/>
  <c r="T181" i="34"/>
  <c r="Q181" i="35" l="1"/>
  <c r="Q184" i="34"/>
  <c r="T183" i="34"/>
  <c r="Q183" i="35" l="1"/>
  <c r="T181" i="35"/>
  <c r="Q181" i="36" l="1"/>
  <c r="T183" i="35"/>
  <c r="Q184" i="35"/>
  <c r="Q183" i="36" l="1"/>
  <c r="T181" i="36"/>
  <c r="Q181" i="37" l="1"/>
  <c r="Q184" i="36"/>
  <c r="T183" i="36"/>
  <c r="Q183" i="37" l="1"/>
  <c r="T181" i="37"/>
  <c r="Q181" i="38" l="1"/>
  <c r="T183" i="37"/>
  <c r="Q184" i="37"/>
  <c r="T181" i="38" l="1"/>
  <c r="Q183" i="38"/>
  <c r="T183" i="38" l="1"/>
  <c r="Q181" i="39"/>
  <c r="Q184" i="38"/>
  <c r="T181" i="39" l="1"/>
  <c r="Q183" i="39"/>
  <c r="T183" i="39" l="1"/>
  <c r="Q181" i="40"/>
  <c r="Q184" i="39"/>
  <c r="Q183" i="40" l="1"/>
  <c r="Q181" i="41" s="1"/>
  <c r="T181" i="40"/>
  <c r="Q183" i="41" l="1"/>
  <c r="Q181" i="42" s="1"/>
  <c r="T181" i="41"/>
  <c r="Q184" i="40"/>
  <c r="T183" i="40"/>
  <c r="Q183" i="42" l="1"/>
  <c r="T181" i="42"/>
  <c r="T183" i="41"/>
  <c r="Q184" i="41"/>
  <c r="Q181" i="43" l="1"/>
  <c r="T183" i="42"/>
  <c r="Q184" i="42"/>
  <c r="T181" i="43" l="1"/>
  <c r="Q183" i="43"/>
  <c r="T183" i="43" l="1"/>
  <c r="Q181" i="44"/>
  <c r="Q184" i="43"/>
  <c r="Q183" i="44" l="1"/>
  <c r="T181" i="44"/>
  <c r="T183" i="44" l="1"/>
  <c r="Q181" i="45"/>
  <c r="Q184" i="44"/>
  <c r="Q183" i="45" l="1"/>
  <c r="T181" i="45"/>
  <c r="Q181" i="46" l="1"/>
  <c r="Q184" i="45"/>
  <c r="T183" i="45"/>
  <c r="Q183" i="46" l="1"/>
  <c r="Q180" i="47" s="1"/>
  <c r="T181" i="46"/>
  <c r="Q182" i="47" l="1"/>
  <c r="T180" i="47"/>
  <c r="T183" i="46"/>
  <c r="Q184" i="46"/>
  <c r="Q180" i="48" l="1"/>
  <c r="Q183" i="47"/>
  <c r="T182" i="47"/>
  <c r="T180" i="48" l="1"/>
  <c r="Q182" i="48"/>
  <c r="Q180" i="49" l="1"/>
  <c r="T182" i="48"/>
  <c r="Q183" i="48"/>
  <c r="Q182" i="49" l="1"/>
  <c r="T180" i="49"/>
  <c r="Q180" i="50" l="1"/>
  <c r="T182" i="49"/>
  <c r="Q183" i="49"/>
  <c r="T180" i="50" l="1"/>
  <c r="Q182" i="50"/>
  <c r="T182" i="50" l="1"/>
  <c r="Q180" i="51"/>
  <c r="Q183" i="50"/>
  <c r="Q182" i="51" l="1"/>
  <c r="T180" i="51"/>
  <c r="Q180" i="52" l="1"/>
  <c r="Q183" i="51"/>
  <c r="T182" i="51"/>
  <c r="Q182" i="52" l="1"/>
  <c r="T180" i="52"/>
  <c r="T182" i="52" l="1"/>
  <c r="Q180" i="53"/>
  <c r="Q183" i="52"/>
  <c r="Q182" i="53" l="1"/>
  <c r="T180" i="53"/>
  <c r="Q180" i="54" l="1"/>
  <c r="Q183" i="53"/>
  <c r="T182" i="53"/>
  <c r="Q182" i="54" l="1"/>
  <c r="T180" i="54"/>
  <c r="Q180" i="55" l="1"/>
  <c r="Q183" i="54"/>
  <c r="T182" i="54"/>
  <c r="Q182" i="55" l="1"/>
  <c r="Q180" i="56" s="1"/>
  <c r="T180" i="55"/>
  <c r="Q182" i="56" l="1"/>
  <c r="Q180" i="57" s="1"/>
  <c r="T180" i="56"/>
  <c r="T182" i="55"/>
  <c r="Q183" i="55"/>
  <c r="T180" i="57" l="1"/>
  <c r="Q182" i="57"/>
  <c r="Q183" i="58" s="1"/>
  <c r="T182" i="56"/>
  <c r="Q183" i="56"/>
  <c r="Q185" i="58" l="1"/>
  <c r="T183" i="58"/>
  <c r="T182" i="57"/>
  <c r="Q183" i="57"/>
  <c r="Q183" i="59" l="1"/>
  <c r="T185" i="58"/>
  <c r="Q186" i="58"/>
  <c r="T183" i="59" l="1"/>
  <c r="Q185" i="59"/>
  <c r="T185" i="59" l="1"/>
  <c r="Q183" i="60"/>
  <c r="Q186" i="59"/>
  <c r="T183" i="60" l="1"/>
  <c r="Q185" i="60"/>
  <c r="T185" i="60" l="1"/>
  <c r="Q183" i="61"/>
  <c r="Q186" i="60"/>
  <c r="Q185" i="61" l="1"/>
  <c r="T183" i="61"/>
  <c r="T185" i="61" l="1"/>
  <c r="Q184" i="62"/>
  <c r="Q186" i="61"/>
  <c r="Q186" i="62" l="1"/>
  <c r="T184" i="62"/>
  <c r="Q187" i="62" l="1"/>
  <c r="T18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DoJulia</author>
  </authors>
  <commentList>
    <comment ref="D39" authorId="0" shapeId="0" xr:uid="{00000000-0006-0000-0200-000001000000}">
      <text>
        <r>
          <rPr>
            <b/>
            <sz val="12"/>
            <color indexed="12"/>
            <rFont val="Tahoma"/>
            <family val="2"/>
          </rPr>
          <t>Class A1 Notes have been re-set to -2bp for the period 15/09/06 - 17/09/07</t>
        </r>
      </text>
    </comment>
  </commentList>
</comments>
</file>

<file path=xl/sharedStrings.xml><?xml version="1.0" encoding="utf-8"?>
<sst xmlns="http://schemas.openxmlformats.org/spreadsheetml/2006/main" count="23321" uniqueCount="413">
  <si>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</si>
  <si>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</si>
  <si>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</si>
  <si>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</si>
  <si>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</si>
  <si>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</si>
  <si>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</si>
  <si>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</si>
  <si>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</si>
  <si>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</si>
  <si>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</si>
  <si>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</si>
  <si>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</si>
  <si>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</si>
  <si>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</si>
  <si>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</si>
  <si>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</si>
  <si>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</si>
  <si>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</si>
  <si>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</si>
  <si>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</si>
  <si>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</si>
  <si>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</si>
  <si>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</si>
  <si>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</si>
  <si>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</si>
  <si>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</si>
  <si>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</si>
  <si>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</si>
  <si>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</si>
  <si>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</si>
  <si>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</si>
  <si>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</si>
  <si>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</si>
  <si>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</si>
  <si>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Trustee Fee</t>
  </si>
  <si>
    <t>Third Party payments for Corporation Tax and VAT</t>
  </si>
  <si>
    <t>Termination Fees to Swap Provider</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</si>
  <si>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</si>
  <si>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</si>
  <si>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</si>
  <si>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</si>
  <si>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</si>
  <si>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</si>
  <si>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</si>
  <si>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</si>
  <si>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</si>
  <si>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</si>
  <si>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</si>
  <si>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</si>
  <si>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</si>
  <si>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</si>
  <si>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</si>
  <si>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</si>
  <si>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</si>
  <si>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</si>
  <si>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</si>
  <si>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</si>
  <si>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</si>
  <si>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</si>
  <si>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</si>
  <si>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</si>
  <si>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</si>
  <si>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</si>
  <si>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</si>
  <si>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</si>
  <si>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</si>
  <si>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</si>
  <si>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</si>
  <si>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</si>
  <si>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</si>
  <si>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</si>
  <si>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</si>
  <si>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</si>
  <si>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</si>
  <si>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</si>
  <si>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</si>
  <si>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</si>
  <si>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</si>
  <si>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</si>
  <si>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</si>
  <si>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</si>
  <si>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</si>
  <si>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</si>
  <si>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</si>
  <si>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</si>
  <si>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</si>
  <si>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</si>
  <si>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</si>
  <si>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Cumulative Recoveries</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</si>
  <si>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</si>
  <si>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</si>
  <si>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</si>
  <si>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</si>
  <si>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</si>
  <si>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</si>
  <si>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</si>
  <si>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</si>
  <si>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</si>
  <si>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</si>
  <si>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</si>
  <si>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</si>
  <si>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</si>
  <si>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</si>
  <si>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</si>
  <si>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</si>
  <si>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</si>
  <si>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</si>
  <si>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</si>
  <si>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</si>
  <si>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</si>
  <si>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</si>
  <si>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</si>
  <si>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</si>
  <si>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n/a</t>
  </si>
  <si>
    <t>£'000 Principal</t>
  </si>
  <si>
    <t>=</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</si>
  <si>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</si>
  <si>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</si>
  <si>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</si>
  <si>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</si>
  <si>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</si>
  <si>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</si>
  <si>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</si>
  <si>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</si>
  <si>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</si>
  <si>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</si>
  <si>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</si>
  <si>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</si>
  <si>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</si>
  <si>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</si>
  <si>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</si>
  <si>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</si>
  <si>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</si>
  <si>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</si>
  <si>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</si>
  <si>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</si>
  <si>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</si>
  <si>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</si>
  <si>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</si>
  <si>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</si>
  <si>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</si>
  <si>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</si>
  <si>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</si>
  <si>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</si>
  <si>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</si>
  <si>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</si>
  <si>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</si>
  <si>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</si>
  <si>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</si>
  <si>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</si>
  <si>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</si>
  <si>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</si>
  <si>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</si>
  <si>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</si>
  <si>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</si>
  <si>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</si>
  <si>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</si>
  <si>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4 (d)</t>
  </si>
  <si>
    <t>Original Weighted Average Note Coupon and Currency Swap Rate</t>
  </si>
  <si>
    <t>john.harvey@paragon-group.co.uk</t>
  </si>
  <si>
    <t>jimmy.giles@paragon-group.co.uk</t>
  </si>
  <si>
    <t>ACTUAL/365</t>
  </si>
  <si>
    <t>Facility at Closing</t>
  </si>
  <si>
    <t>&gt;3&lt;=4 Months</t>
  </si>
  <si>
    <t>&gt;4&lt;=5 Months</t>
  </si>
  <si>
    <t>&gt;5&lt;=6 Months</t>
  </si>
  <si>
    <t>&gt;6&lt;=12 Months</t>
  </si>
  <si>
    <t>&gt;12 Months</t>
  </si>
  <si>
    <t>Payments to Redraw Facility Provider's commitment Fee and interest</t>
  </si>
  <si>
    <t>Funding of MTL payment holidays</t>
  </si>
  <si>
    <t>Delinquency Summary (Excluding Receiver of Rent and Possession Cases)</t>
  </si>
  <si>
    <t>Delinquency Summary (For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</si>
  <si>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</si>
  <si>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</si>
  <si>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</si>
  <si>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</si>
  <si>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</si>
  <si>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</si>
  <si>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32 bp</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</si>
  <si>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</si>
  <si>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</si>
  <si>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</si>
  <si>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</si>
  <si>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</si>
  <si>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</si>
  <si>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</si>
  <si>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</si>
  <si>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Paragon Mortgages (No.10) PLC</t>
  </si>
  <si>
    <t>This performance report is issued by Paragon Finance PLC for and on behalf of Paragon Mortgages (No.10) PLC</t>
  </si>
  <si>
    <t>PM10 PLC</t>
  </si>
  <si>
    <t>Class A1 Notes</t>
  </si>
  <si>
    <t>Class A2a Notes</t>
  </si>
  <si>
    <t>Class A2b Notes</t>
  </si>
  <si>
    <t>Class B1a Notes</t>
  </si>
  <si>
    <t>Class B1b Notes</t>
  </si>
  <si>
    <t>Class C1a Notes</t>
  </si>
  <si>
    <t>Class C1b Notes</t>
  </si>
  <si>
    <t>Aa2</t>
  </si>
  <si>
    <t>XS0235419040</t>
  </si>
  <si>
    <t>XS0235419396</t>
  </si>
  <si>
    <t>XS0235419800</t>
  </si>
  <si>
    <t>XS0235420139</t>
  </si>
  <si>
    <t>XS0235420303</t>
  </si>
  <si>
    <t>XS0235420485</t>
  </si>
  <si>
    <t>XS0235420725</t>
  </si>
  <si>
    <t>US69912UAA34</t>
  </si>
  <si>
    <t>16 bp</t>
  </si>
  <si>
    <t>27 bp</t>
  </si>
  <si>
    <t>55 bp</t>
  </si>
  <si>
    <t>54 bp</t>
  </si>
  <si>
    <t>110 bp</t>
  </si>
  <si>
    <t>PM10 INVESTOR REPORT QUARTER ENDING FEBRUARY 2006</t>
  </si>
  <si>
    <t>A2a Note Interest</t>
  </si>
  <si>
    <t>B1b Swap Currency Interest</t>
  </si>
  <si>
    <t>B1a Note Interest</t>
  </si>
  <si>
    <t>C1a Note Interest</t>
  </si>
  <si>
    <t>A1 and A2b Swap Currency Interest</t>
  </si>
  <si>
    <t>C1b Swap Currency repayment</t>
  </si>
  <si>
    <t>C1a Note repayment</t>
  </si>
  <si>
    <t>B1b Swap Currency repayment</t>
  </si>
  <si>
    <t>B1a Note repayment</t>
  </si>
  <si>
    <t>Replenishments from drawings on the PM10/PFPLC/MTS Subordinated Loan</t>
  </si>
  <si>
    <t>Fitch Rating at Closing</t>
  </si>
  <si>
    <t>Current Standard &amp; Poor's Rating</t>
  </si>
  <si>
    <t>Current Fitch Rating</t>
  </si>
  <si>
    <t xml:space="preserve"> </t>
  </si>
  <si>
    <t>Class A2a,  B1a and C1a Interest Calculated on</t>
  </si>
  <si>
    <t>A2b Swap Currency repayment</t>
  </si>
  <si>
    <t>A2a Note repayment</t>
  </si>
  <si>
    <t>C1b Swap Currency Interest</t>
  </si>
  <si>
    <t>A1 Swap Currency repayment</t>
  </si>
  <si>
    <t>Cover Ratio for Class C Notes (at last Interest Payment Date)</t>
  </si>
  <si>
    <t xml:space="preserve">Cover Ratio for Class C Notes (cumulative) </t>
  </si>
  <si>
    <t>Drawing on the PFPLC/MTS/PM10 Subordinated Loan for Interest Shortfalls</t>
  </si>
  <si>
    <t>2 bp</t>
  </si>
  <si>
    <t>61 bp</t>
  </si>
  <si>
    <t>0 bp</t>
  </si>
  <si>
    <t>TBA</t>
  </si>
  <si>
    <t>37 bp</t>
  </si>
  <si>
    <t>122 bp</t>
  </si>
  <si>
    <t>Class A1, A2b, B1b and C1b Interest Calculated on</t>
  </si>
  <si>
    <t>Quarterly Interest Payment Date</t>
  </si>
  <si>
    <t>Class A1 Interest Payment Cycle</t>
  </si>
  <si>
    <t>Monthly</t>
  </si>
  <si>
    <t>Class A2a, A2b, B1a, B1b, C1a and C1b Interest Payment Cycle</t>
  </si>
  <si>
    <t>Senior Administration Fee to PFPLC and MTS/ Out of pocket expenses/ Substitute Administrators Commitment Fee</t>
  </si>
  <si>
    <t>5 (a)</t>
  </si>
  <si>
    <t>5 (b)</t>
  </si>
  <si>
    <t>6 (a)</t>
  </si>
  <si>
    <t>6 (b)</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</si>
  <si>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</si>
  <si>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</si>
  <si>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</si>
  <si>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</si>
  <si>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</si>
  <si>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</si>
  <si>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</si>
  <si>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</si>
  <si>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</si>
  <si>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</si>
  <si>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</si>
  <si>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Current Weighted Average Note Coupon and Currency Swap Rate</t>
  </si>
  <si>
    <t>PM10 INVESTOR REPORT QUARTER ENDING MAY 2006</t>
  </si>
  <si>
    <t>Facility at the previous quarter end</t>
  </si>
  <si>
    <t>PM10 INVESTOR REPORT QUARTER ENDING AUGUST 2006</t>
  </si>
  <si>
    <t>Flexible Drawing Facilty</t>
  </si>
  <si>
    <t>Closing Flexible Drawing Facility Balance</t>
  </si>
  <si>
    <t>PM10 INVESTOR REPORT QUARTER ENDING NOVEMBER 2006</t>
  </si>
  <si>
    <t>Total Income as a % of the Total Assets</t>
  </si>
  <si>
    <t>Minus 2 bp</t>
  </si>
  <si>
    <t>31/11/2006</t>
  </si>
  <si>
    <t>PM10 INVESTOR REPORT QUARTER ENDING FEBRUARY 2007</t>
  </si>
  <si>
    <t>Swap receipts</t>
  </si>
  <si>
    <t>PM10 INVESTOR REPORT QUARTER ENDING MAY 2007</t>
  </si>
  <si>
    <t>Delinquency Summary (For Receiver of Rent Cases)</t>
  </si>
  <si>
    <t>PM10 INVESTOR REPORT QUARTER ENDING AUGUST 2007</t>
  </si>
  <si>
    <t>Andrew Kitching, St. Catherines Court, Herbert Road, Solihull, West Midlands, B91 3QE</t>
  </si>
  <si>
    <t>+44 (0) 121 712 3896</t>
  </si>
  <si>
    <t>andrew.kitching@paragon-group.co.uk</t>
  </si>
  <si>
    <t>18 bp</t>
  </si>
  <si>
    <t>30 bp</t>
  </si>
  <si>
    <t>PM10 INVESTOR REPORT QUARTER ENDING NOVEMBER 2007</t>
  </si>
  <si>
    <t>9 bp</t>
  </si>
  <si>
    <t>11 bp</t>
  </si>
  <si>
    <t>Accrual from Revenue for potential Losses</t>
  </si>
  <si>
    <t>PM10 INVESTOR REPORT QUARTER ENDING FEBRUARY 2008</t>
  </si>
  <si>
    <t>PM10 INVESTOR REPORT QUARTER ENDING MAY 2008</t>
  </si>
  <si>
    <t>PM10 INVESTOR REPORT QUARTER ENDING AUGUST 2008</t>
  </si>
  <si>
    <t>PM10 INVESTOR REPORT QUARTER ENDING NOVEMBER 2008</t>
  </si>
  <si>
    <t>PM10 INVESTOR REPORT QUARTER ENDING FEBRUARY 2009</t>
  </si>
  <si>
    <t xml:space="preserve">or the IPD falling  in March 2011, whichever is the later </t>
  </si>
  <si>
    <t>Properties Sold by Mortgagee - Outstandung Principal Balance</t>
  </si>
  <si>
    <t>PM10 INVESTOR REPORT QUARTER ENDING MAY 2009</t>
  </si>
  <si>
    <t>PM10 INVESTOR REPORT QUARTER ENDING AUGUST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</si>
  <si>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</si>
  <si>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</si>
  <si>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</si>
  <si>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</si>
  <si>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</si>
  <si>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</si>
  <si>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</si>
  <si>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</si>
  <si>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PM10 INVESTOR REPORT QUARTER ENDING NOVEMBER 2009</t>
  </si>
  <si>
    <t>PM10 INVESTOR REPORT QUARTER ENDING FEBRUARY 2010</t>
  </si>
  <si>
    <t>PM10 INVESTOR REPORT QUARTER ENDING MAY 2010</t>
  </si>
  <si>
    <t>PM10 INVESTOR REPORT QUARTER ENDING AUGUST 2010</t>
  </si>
  <si>
    <t xml:space="preserve">Delinquency Summary </t>
  </si>
  <si>
    <t>PM10 INVESTOR REPORT QUARTER ENDING NOVEMBER 2010</t>
  </si>
  <si>
    <t>PM10 INVESTOR REPORT QUARTER ENDING FEBRUARY 2011</t>
  </si>
  <si>
    <t>PM10 INVESTOR REPORT QUARTER ENDING MAY 2011</t>
  </si>
  <si>
    <t>PM10 INVESTOR REPORT QUARTER ENDING AUGUST 2011</t>
  </si>
  <si>
    <t>AA+</t>
  </si>
  <si>
    <t>PM10 INVESTOR REPORT QUARTER ENDING NOVEMBER 2011</t>
  </si>
  <si>
    <t>PDL replenishment (-) from Revenue income / Recovery (+) to Revenue income</t>
  </si>
  <si>
    <t>PDL replenishment (-) from Revenue income / Recovery (+) to Revenue Income</t>
  </si>
  <si>
    <t>PM10 INVESTOR REPORT QUARTER ENDING FEBRUARY 2012</t>
  </si>
  <si>
    <t>F1/AAA</t>
  </si>
  <si>
    <t>A-1/AAA</t>
  </si>
  <si>
    <t>PM10 INVESTOR REPORT QUARTER ENDING MAY 2012</t>
  </si>
  <si>
    <t>AA-</t>
  </si>
  <si>
    <t>A-</t>
  </si>
  <si>
    <t>PM10 INVESTOR REPORT QUARTER ENDING AUGUST 2012</t>
  </si>
  <si>
    <t>PM10 INVESTOR REPORT QUARTER ENDING NOVEMBER 2012</t>
  </si>
  <si>
    <t>PM10 INVESTOR REPORT QUARTER ENDING FEBRUARY 2013</t>
  </si>
  <si>
    <t>Trustee Fee/ Costs and expenses claimed by the Substitute Administrator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</si>
  <si>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</si>
  <si>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</si>
  <si>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PM10 INVESTOR REPORT QUARTER ENDING MAY 2013</t>
  </si>
  <si>
    <t>John Harvey, 51 Homer Road, Solihull, West Midlands, B91 3QJ</t>
  </si>
  <si>
    <t>Andrew Kitching, 51 Homer Road, Solihull, West Midlands, B91 3QJ</t>
  </si>
  <si>
    <t>Jimmy Giles, 51 Homer Road, Solihull, West Midlands, B91 3QJ</t>
  </si>
  <si>
    <t>PM10 INVESTOR REPORT QUARTER ENDING AUGUST 2013</t>
  </si>
  <si>
    <t>PM10 INVESTOR REPORT QUARTER ENDING NOVEMBER 2013</t>
  </si>
  <si>
    <t>PM10 INVESTOR REPORT QUARTER ENDING FEBRUARY 2014</t>
  </si>
  <si>
    <t>Closing Flexible Drawing Facility balance (with effect from 17th March 2014)</t>
  </si>
  <si>
    <t>PM10 INVESTOR REPORT QUARTER ENDING MAY 2014</t>
  </si>
  <si>
    <t>PM10 INVESTOR REPORT QUARTER ENDING AUGUST 2014</t>
  </si>
  <si>
    <t>PM10 INVESTOR REPORT QUARTER ENDING NOVEMBER 2014</t>
  </si>
  <si>
    <t>PM10 INVESTOR REPORT QUARTER ENDING FEBRUARY 2015</t>
  </si>
  <si>
    <t>PM10 INVESTOR REPORT QUARTER ENDING MAY 2015</t>
  </si>
  <si>
    <t>PM10 INVESTOR REPORT QUARTER ENDING AUGUST 2015</t>
  </si>
  <si>
    <t>A-2/AAA</t>
  </si>
  <si>
    <t>PM10 INVESTOR REPORT QUARTER ENDING NOVEMBER 2015</t>
  </si>
  <si>
    <t>PM10 INVESTOR REPORT QUARTER ENDING FEBRUARY 2016</t>
  </si>
  <si>
    <t>PM10 INVESTOR REPORT QUARTER ENDING MAY 2016</t>
  </si>
  <si>
    <t>PM10 INVESTOR REPORT QUARTER ENDING AUGUST 2016</t>
  </si>
  <si>
    <t>PM10 INVESTOR REPORT QUARTER ENDING NOVEMBER 2016</t>
  </si>
  <si>
    <t>PM10 INVESTOR REPORT QUARTER ENDING FEBRUARY 2017</t>
  </si>
  <si>
    <t>Class A1, A2a, A2b, B1a, B1b, C1a and C1b Interest Payment Cycle</t>
  </si>
  <si>
    <t>Class A1, A2a,  B1a and C1a Interest Calculated on</t>
  </si>
  <si>
    <t>Class A2b, B1b and C1b Interest Calculated on</t>
  </si>
  <si>
    <t>PM10 INVESTOR REPORT QUARTER ENDING MAY 2017</t>
  </si>
  <si>
    <t xml:space="preserve">A1 and A2a Note Interest  * </t>
  </si>
  <si>
    <t xml:space="preserve">A2b Swap Currency Interest  * </t>
  </si>
  <si>
    <r>
      <rPr>
        <u/>
        <sz val="12"/>
        <color indexed="18"/>
        <rFont val="Times New Roman"/>
        <family val="1"/>
      </rPr>
      <t>Prior to the Interest Payment Date on 15th December 16</t>
    </r>
    <r>
      <rPr>
        <sz val="12"/>
        <color indexed="18"/>
        <rFont val="Times New Roman"/>
        <family val="1"/>
      </rPr>
      <t xml:space="preserve">               </t>
    </r>
    <r>
      <rPr>
        <u/>
        <sz val="12"/>
        <color indexed="18"/>
        <rFont val="Times New Roman"/>
        <family val="1"/>
      </rPr>
      <t xml:space="preserve">From the Interest Payment Date on 15th December 16 </t>
    </r>
  </si>
  <si>
    <t>A2a Note Interest                                                                      A2b Swap Currency Interest</t>
  </si>
  <si>
    <t>A1 and A2b Swap Currency Interest                                            A1 and A2a Note Interest</t>
  </si>
  <si>
    <t xml:space="preserve">* Rows 106 - 107 - Revenue Priority of Payments </t>
  </si>
  <si>
    <t xml:space="preserve">FOR ADDITIONAL INFORMATION ON THE CHANGES TO THE REVENUE PRIORITY OF PAYMENTS, PLEASE REFER TO THE "GLOSSARY OF TERMS" POSTED ON THE PARAGON WEBSITE  </t>
  </si>
  <si>
    <t>PM10 INVESTOR REPORT QUARTER ENDING AUGUST 2017</t>
  </si>
  <si>
    <t>http://www.paragonbankinggroup.co.uk</t>
  </si>
  <si>
    <t>andrew.kitching@paragonbank.co.uk</t>
  </si>
  <si>
    <t>jimmy.giles@paragonbank.co.uk</t>
  </si>
  <si>
    <r>
      <rPr>
        <u/>
        <sz val="12"/>
        <color rgb="FF2D2926"/>
        <rFont val="Calibri"/>
        <family val="2"/>
        <scheme val="minor"/>
      </rPr>
      <t>Prior to the Interest Payment Date on 15th December 16</t>
    </r>
    <r>
      <rPr>
        <sz val="12"/>
        <color rgb="FF2D2926"/>
        <rFont val="Calibri"/>
        <family val="2"/>
        <scheme val="minor"/>
      </rPr>
      <t xml:space="preserve">               </t>
    </r>
    <r>
      <rPr>
        <u/>
        <sz val="12"/>
        <color rgb="FF2D2926"/>
        <rFont val="Calibri"/>
        <family val="2"/>
        <scheme val="minor"/>
      </rPr>
      <t xml:space="preserve">From the Interest Payment Date on 15th December 16 </t>
    </r>
  </si>
  <si>
    <t>PM10 INVESTOR REPORT QUARTER ENDING NOVEMBER 2017</t>
  </si>
  <si>
    <t>PM10 INVESTOR REPORT QUARTER ENDING FEBRUARY 2018</t>
  </si>
  <si>
    <t>PM10 INVESTOR REPORT QUARTER ENDING MAY 2018</t>
  </si>
  <si>
    <t>PM10 INVESTOR REPORT QUARTER ENDING AUGUST 2018</t>
  </si>
  <si>
    <t>PM10 INVESTOR REPORT QUARTER ENDING NOVEMBER 2018</t>
  </si>
  <si>
    <t>PM10 INVESTOR REPORT QUARTER ENDING FEBRUARY 2019</t>
  </si>
  <si>
    <t>PM10 INVESTOR REPORT QUARTER ENDING MAY 2019</t>
  </si>
  <si>
    <t>PM10 INVESTOR REPORT QUARTER ENDING AUGUST 2019</t>
  </si>
  <si>
    <t>Repayment of the Subordinated Loan (Repayment of the Minimum Mortgage Rate Drawings)</t>
  </si>
  <si>
    <t>Deferred Consideration</t>
  </si>
  <si>
    <t>Management Charge</t>
  </si>
  <si>
    <t>Interest on the Subordinated Loan (First Loss Fund)</t>
  </si>
  <si>
    <t>A1 Note repayment</t>
  </si>
  <si>
    <t>PM10 INVESTOR REPORT QUARTER ENDING NOVEMBER 2019</t>
  </si>
  <si>
    <t>PM10 INVESTOR REPORT QUARTER ENDING FEBRUARY 2020</t>
  </si>
  <si>
    <t>A+</t>
  </si>
  <si>
    <t>PM10 INVESTOR REPORT QUARTER ENDING MAY 2020</t>
  </si>
  <si>
    <t>Delinquency Summary (For COVID19 Payment Holiday Cases)</t>
  </si>
  <si>
    <t>**</t>
  </si>
  <si>
    <t>Receiver of Rent Cases by Current Status, as at the PDD</t>
  </si>
  <si>
    <t>Rented</t>
  </si>
  <si>
    <t>Vacant - to be let</t>
  </si>
  <si>
    <t>Vacant - to be sold</t>
  </si>
  <si>
    <t>Property Rented/For Sale</t>
  </si>
  <si>
    <t xml:space="preserve">Strategic review </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</si>
  <si>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</si>
  <si>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</si>
  <si>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</si>
  <si>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</si>
  <si>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</si>
  <si>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</si>
  <si>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</si>
  <si>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</si>
  <si>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</si>
  <si>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</si>
  <si>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</si>
  <si>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 For transparency, a table has been included where customers have elected to take a payment holiday, caused by COVID19. Rows 297 - 307 Delinquency Summary (For COVID19 Payment Holiday Cases) are included in the Overall Deliquency Summary in rows 249 - 259.</t>
  </si>
  <si>
    <t>% by Number of Accounts/Balance</t>
  </si>
  <si>
    <t>Offer Issued/Offer Accepted/Contracts Issued/Contracts Exchanged</t>
  </si>
  <si>
    <t>PM10 INVESTOR REPORT QUARTER ENDING AUGUST 2020</t>
  </si>
  <si>
    <t>Release of the First Loss Fund Balance</t>
  </si>
  <si>
    <t>Release of the First Loss Fund following repayment of the Notes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</si>
  <si>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</si>
  <si>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</si>
  <si>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</si>
  <si>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</si>
  <si>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Original Payment Holiday Borrowers</t>
  </si>
  <si>
    <t>Extended Payment Holiday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</si>
</sst>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809]#,##0"/>
    <numFmt numFmtId="165" formatCode="0.00000%"/>
    <numFmt numFmtId="166" formatCode="0.0%"/>
    <numFmt numFmtId="167" formatCode="d\-mmm\-yy"/>
    <numFmt numFmtId="168" formatCode="[$€-2]\ #,##0"/>
    <numFmt numFmtId="169" formatCode="[$$-409]#,##0"/>
    <numFmt numFmtId="170" formatCode="&quot;£&quot;#,##0"/>
    <numFmt numFmtId="171" formatCode="0.000000"/>
    <numFmt numFmtId="172" formatCode="[$£-809]#,##0.00"/>
    <numFmt numFmtId="173" formatCode="0.0000000"/>
    <numFmt numFmtId="174" formatCode="[$$-409]#,##0.0000000"/>
    <numFmt numFmtId="175" formatCode="&quot;£&quot;#,##0.00"/>
  </numFmts>
  <fonts count="76"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b/>
      <sz val="12"/>
      <color indexed="12"/>
      <name val="Tahoma"/>
      <family val="2"/>
    </font>
    <font>
      <b/>
      <u/>
      <sz val="16"/>
      <color indexed="18"/>
      <name val="Times New Roman"/>
      <family val="1"/>
    </font>
    <font>
      <b/>
      <i/>
      <sz val="10"/>
      <color indexed="18"/>
      <name val="Times New Roman"/>
      <family val="1"/>
    </font>
    <font>
      <b/>
      <sz val="12"/>
      <color indexed="18"/>
      <name val="Times New Roman"/>
      <family val="1"/>
    </font>
    <font>
      <b/>
      <u/>
      <sz val="12"/>
      <color indexed="18"/>
      <name val="Times New Roman"/>
      <family val="1"/>
    </font>
    <font>
      <sz val="12"/>
      <color indexed="18"/>
      <name val="Times New Roman"/>
      <family val="1"/>
    </font>
    <font>
      <sz val="12"/>
      <color indexed="18"/>
      <name val="Arial"/>
      <family val="2"/>
    </font>
    <font>
      <sz val="12"/>
      <color indexed="18"/>
      <name val="Times New Roman"/>
      <family val="1"/>
    </font>
    <font>
      <b/>
      <sz val="12"/>
      <color indexed="18"/>
      <name val="Times New Roman"/>
      <family val="1"/>
    </font>
    <font>
      <b/>
      <sz val="12"/>
      <color indexed="18"/>
      <name val="Arial"/>
      <family val="2"/>
    </font>
    <font>
      <b/>
      <sz val="14"/>
      <color indexed="18"/>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sz val="12"/>
      <color indexed="9"/>
      <name val="Times New Roman"/>
      <family val="1"/>
    </font>
    <font>
      <b/>
      <u/>
      <sz val="12"/>
      <color indexed="53"/>
      <name val="Times New Roman"/>
      <family val="1"/>
    </font>
    <font>
      <u/>
      <sz val="12"/>
      <color indexed="18"/>
      <name val="Times New Roman"/>
      <family val="1"/>
    </font>
    <font>
      <sz val="12"/>
      <name val="Calibri"/>
      <family val="2"/>
      <scheme val="minor"/>
    </font>
    <font>
      <u/>
      <sz val="12"/>
      <name val="Calibri"/>
      <family val="2"/>
      <scheme val="minor"/>
    </font>
    <font>
      <b/>
      <sz val="12"/>
      <color indexed="53"/>
      <name val="Calibri"/>
      <family val="2"/>
      <scheme val="minor"/>
    </font>
    <font>
      <b/>
      <i/>
      <sz val="10"/>
      <name val="Calibri"/>
      <family val="2"/>
      <scheme val="minor"/>
    </font>
    <font>
      <b/>
      <u/>
      <sz val="14"/>
      <color indexed="53"/>
      <name val="Calibri"/>
      <family val="2"/>
      <scheme val="minor"/>
    </font>
    <font>
      <b/>
      <sz val="12"/>
      <name val="Calibri"/>
      <family val="2"/>
      <scheme val="minor"/>
    </font>
    <font>
      <b/>
      <sz val="12"/>
      <color indexed="18"/>
      <name val="Calibri"/>
      <family val="2"/>
      <scheme val="minor"/>
    </font>
    <font>
      <sz val="12"/>
      <color indexed="18"/>
      <name val="Calibri"/>
      <family val="2"/>
      <scheme val="minor"/>
    </font>
    <font>
      <sz val="12"/>
      <color indexed="9"/>
      <name val="Calibri"/>
      <family val="2"/>
      <scheme val="minor"/>
    </font>
    <font>
      <b/>
      <sz val="12"/>
      <color indexed="9"/>
      <name val="Calibri"/>
      <family val="2"/>
      <scheme val="minor"/>
    </font>
    <font>
      <sz val="12"/>
      <color indexed="53"/>
      <name val="Calibri"/>
      <family val="2"/>
      <scheme val="minor"/>
    </font>
    <font>
      <sz val="12"/>
      <color indexed="8"/>
      <name val="Calibri"/>
      <family val="2"/>
      <scheme val="minor"/>
    </font>
    <font>
      <b/>
      <u/>
      <sz val="12"/>
      <name val="Calibri"/>
      <family val="2"/>
      <scheme val="minor"/>
    </font>
    <font>
      <b/>
      <sz val="12"/>
      <color indexed="29"/>
      <name val="Calibri"/>
      <family val="2"/>
      <scheme val="minor"/>
    </font>
    <font>
      <b/>
      <u/>
      <sz val="12"/>
      <color indexed="8"/>
      <name val="Calibri"/>
      <family val="2"/>
      <scheme val="minor"/>
    </font>
    <font>
      <b/>
      <sz val="12"/>
      <color indexed="8"/>
      <name val="Calibri"/>
      <family val="2"/>
      <scheme val="minor"/>
    </font>
    <font>
      <b/>
      <u/>
      <sz val="12"/>
      <color rgb="FF89CB31"/>
      <name val="Calibri"/>
      <family val="2"/>
      <scheme val="minor"/>
    </font>
    <font>
      <b/>
      <u/>
      <sz val="14"/>
      <color rgb="FF89CB31"/>
      <name val="Calibri"/>
      <family val="2"/>
      <scheme val="minor"/>
    </font>
    <font>
      <b/>
      <sz val="12"/>
      <color rgb="FF2D2926"/>
      <name val="Calibri"/>
      <family val="2"/>
      <scheme val="minor"/>
    </font>
    <font>
      <b/>
      <sz val="14"/>
      <color rgb="FF89CB31"/>
      <name val="Calibri"/>
      <family val="2"/>
      <scheme val="minor"/>
    </font>
    <font>
      <b/>
      <sz val="12"/>
      <color rgb="FF89CB31"/>
      <name val="Calibri"/>
      <family val="2"/>
      <scheme val="minor"/>
    </font>
    <font>
      <sz val="12"/>
      <color rgb="FF89CB31"/>
      <name val="Calibri"/>
      <family val="2"/>
      <scheme val="minor"/>
    </font>
    <font>
      <b/>
      <u/>
      <sz val="16"/>
      <color rgb="FF2D2926"/>
      <name val="Calibri"/>
      <family val="2"/>
      <scheme val="minor"/>
    </font>
    <font>
      <b/>
      <i/>
      <sz val="10"/>
      <color rgb="FF2D2926"/>
      <name val="Calibri"/>
      <family val="2"/>
      <scheme val="minor"/>
    </font>
    <font>
      <sz val="12"/>
      <color rgb="FF2D2926"/>
      <name val="Calibri"/>
      <family val="2"/>
      <scheme val="minor"/>
    </font>
    <font>
      <b/>
      <u/>
      <sz val="12"/>
      <color rgb="FF2D2926"/>
      <name val="Calibri"/>
      <family val="2"/>
      <scheme val="minor"/>
    </font>
    <font>
      <b/>
      <sz val="14"/>
      <color rgb="FF2D2926"/>
      <name val="Calibri"/>
      <family val="2"/>
      <scheme val="minor"/>
    </font>
    <font>
      <u/>
      <sz val="12"/>
      <color rgb="FF2D2926"/>
      <name val="Calibri"/>
      <family val="2"/>
      <scheme val="minor"/>
    </font>
    <font>
      <sz val="12"/>
      <name val="Arial"/>
      <family val="2"/>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F4F4F4"/>
        <bgColor indexed="64"/>
      </patternFill>
    </fill>
    <fill>
      <patternFill patternType="solid">
        <fgColor rgb="FF89CB31"/>
        <bgColor indexed="64"/>
      </patternFill>
    </fill>
  </fills>
  <borders count="23">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top/>
      <bottom style="thin">
        <color indexed="55"/>
      </bottom>
      <diagonal/>
    </border>
    <border>
      <left/>
      <right/>
      <top style="thin">
        <color indexed="23"/>
      </top>
      <bottom style="thin">
        <color indexed="23"/>
      </bottom>
      <diagonal/>
    </border>
    <border>
      <left style="medium">
        <color indexed="8"/>
      </left>
      <right/>
      <top/>
      <bottom style="thin">
        <color indexed="55"/>
      </bottom>
      <diagonal/>
    </border>
    <border>
      <left/>
      <right style="medium">
        <color indexed="8"/>
      </right>
      <top/>
      <bottom style="thin">
        <color indexed="55"/>
      </bottom>
      <diagonal/>
    </border>
    <border>
      <left/>
      <right style="medium">
        <color indexed="8"/>
      </right>
      <top/>
      <bottom/>
      <diagonal/>
    </border>
    <border>
      <left style="medium">
        <color indexed="8"/>
      </left>
      <right/>
      <top style="thin">
        <color indexed="23"/>
      </top>
      <bottom style="thin">
        <color indexed="23"/>
      </bottom>
      <diagonal/>
    </border>
    <border>
      <left/>
      <right/>
      <top style="thin">
        <color indexed="55"/>
      </top>
      <bottom/>
      <diagonal/>
    </border>
  </borders>
  <cellStyleXfs count="3">
    <xf numFmtId="0" fontId="0" fillId="0" borderId="0"/>
    <xf numFmtId="0" fontId="23" fillId="0" borderId="0" applyNumberFormat="0" applyFill="0" applyBorder="0" applyAlignment="0" applyProtection="0">
      <alignment vertical="top"/>
      <protection locked="0"/>
    </xf>
    <xf numFmtId="9" fontId="75" fillId="0" borderId="0" applyFont="0" applyFill="0" applyBorder="0" applyAlignment="0" applyProtection="0"/>
  </cellStyleXfs>
  <cellXfs count="659">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0" fontId="2"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1" fontId="19" fillId="2" borderId="5" xfId="0" applyNumberFormat="1" applyFont="1" applyFill="1" applyBorder="1" applyAlignment="1">
      <alignment horizontal="center"/>
    </xf>
    <xf numFmtId="171"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24" fillId="2" borderId="5" xfId="0" applyNumberFormat="1" applyFont="1" applyFill="1" applyBorder="1" applyAlignment="1">
      <alignment horizontal="center"/>
    </xf>
    <xf numFmtId="3" fontId="22" fillId="2" borderId="9"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3" fontId="0" fillId="0" borderId="3" xfId="0" applyNumberFormat="1" applyBorder="1"/>
    <xf numFmtId="173" fontId="19" fillId="2" borderId="5" xfId="0" applyNumberFormat="1" applyFont="1" applyFill="1" applyBorder="1" applyAlignment="1">
      <alignment horizontal="center"/>
    </xf>
    <xf numFmtId="173" fontId="19" fillId="2" borderId="5" xfId="0" applyNumberFormat="1" applyFont="1" applyFill="1" applyBorder="1" applyAlignment="1"/>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0" fontId="12" fillId="3" borderId="0" xfId="0" applyNumberFormat="1" applyFont="1" applyFill="1" applyAlignment="1">
      <alignment horizontal="center" wrapText="1"/>
    </xf>
    <xf numFmtId="9" fontId="10" fillId="3" borderId="0" xfId="0" applyNumberFormat="1" applyFont="1" applyFill="1" applyAlignment="1">
      <alignment horizontal="center"/>
    </xf>
    <xf numFmtId="0" fontId="2" fillId="3" borderId="0" xfId="0" applyNumberFormat="1" applyFont="1" applyFill="1" applyAlignment="1">
      <alignment horizontal="center"/>
    </xf>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 fillId="3" borderId="7" xfId="0" applyNumberFormat="1" applyFont="1" applyFill="1" applyBorder="1" applyAlignment="1"/>
    <xf numFmtId="0" fontId="1" fillId="3" borderId="8" xfId="0" applyNumberFormat="1" applyFont="1" applyFill="1" applyBorder="1" applyAlignment="1"/>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13" fillId="3" borderId="4" xfId="0" applyNumberFormat="1" applyFont="1" applyFill="1" applyBorder="1" applyAlignment="1">
      <alignment horizontal="right"/>
    </xf>
    <xf numFmtId="0" fontId="1" fillId="3" borderId="3" xfId="0" applyNumberFormat="1" applyFont="1" applyFill="1" applyBorder="1" applyAlignment="1"/>
    <xf numFmtId="0" fontId="30" fillId="3" borderId="2" xfId="0" applyNumberFormat="1" applyFont="1" applyFill="1" applyBorder="1" applyAlignment="1"/>
    <xf numFmtId="0" fontId="31" fillId="3" borderId="0" xfId="0" applyNumberFormat="1" applyFont="1" applyFill="1" applyAlignment="1"/>
    <xf numFmtId="0" fontId="32" fillId="3" borderId="0" xfId="0" applyNumberFormat="1" applyFont="1" applyFill="1" applyAlignment="1"/>
    <xf numFmtId="0" fontId="33" fillId="3" borderId="0" xfId="0" applyNumberFormat="1" applyFont="1" applyFill="1" applyAlignment="1"/>
    <xf numFmtId="15" fontId="32" fillId="3" borderId="0" xfId="0" applyNumberFormat="1" applyFont="1" applyFill="1" applyAlignment="1">
      <alignment horizontal="center"/>
    </xf>
    <xf numFmtId="0" fontId="33" fillId="3" borderId="0" xfId="0" applyNumberFormat="1" applyFont="1" applyFill="1" applyAlignment="1">
      <alignment horizontal="center" wrapText="1"/>
    </xf>
    <xf numFmtId="9" fontId="32" fillId="3" borderId="0" xfId="0" applyNumberFormat="1" applyFont="1" applyFill="1" applyAlignment="1">
      <alignment horizontal="center"/>
    </xf>
    <xf numFmtId="10" fontId="32" fillId="3" borderId="0" xfId="0" applyNumberFormat="1" applyFont="1" applyFill="1" applyAlignment="1">
      <alignment horizontal="center"/>
    </xf>
    <xf numFmtId="0" fontId="32" fillId="3" borderId="0" xfId="0" applyNumberFormat="1" applyFont="1" applyFill="1" applyAlignment="1">
      <alignment horizontal="center"/>
    </xf>
    <xf numFmtId="0" fontId="34" fillId="3" borderId="0" xfId="0" applyNumberFormat="1" applyFont="1" applyFill="1" applyAlignment="1">
      <alignment horizontal="center"/>
    </xf>
    <xf numFmtId="0" fontId="34" fillId="3" borderId="5" xfId="0" applyNumberFormat="1" applyFont="1" applyFill="1" applyBorder="1" applyAlignment="1"/>
    <xf numFmtId="0" fontId="32" fillId="3" borderId="5" xfId="0" applyNumberFormat="1" applyFont="1" applyFill="1" applyBorder="1" applyAlignment="1"/>
    <xf numFmtId="0" fontId="34" fillId="3" borderId="5" xfId="0" applyNumberFormat="1" applyFont="1" applyFill="1" applyBorder="1" applyAlignment="1">
      <alignment horizontal="center"/>
    </xf>
    <xf numFmtId="3" fontId="34" fillId="3" borderId="5" xfId="0" applyNumberFormat="1" applyFont="1" applyFill="1" applyBorder="1" applyAlignment="1"/>
    <xf numFmtId="0" fontId="34" fillId="3" borderId="3" xfId="0" applyNumberFormat="1" applyFont="1" applyFill="1" applyBorder="1" applyAlignment="1"/>
    <xf numFmtId="0" fontId="34" fillId="3" borderId="0" xfId="0" applyNumberFormat="1" applyFont="1" applyFill="1" applyAlignment="1"/>
    <xf numFmtId="15" fontId="34" fillId="3" borderId="0" xfId="0" applyNumberFormat="1" applyFont="1" applyFill="1" applyAlignment="1" applyProtection="1">
      <alignment horizontal="center"/>
      <protection locked="0"/>
    </xf>
    <xf numFmtId="15" fontId="34" fillId="3" borderId="0" xfId="0" applyNumberFormat="1" applyFont="1" applyFill="1" applyAlignment="1">
      <alignment horizontal="center"/>
    </xf>
    <xf numFmtId="0" fontId="34" fillId="3" borderId="6" xfId="0" applyNumberFormat="1" applyFont="1" applyFill="1" applyBorder="1" applyAlignment="1"/>
    <xf numFmtId="0" fontId="39" fillId="3" borderId="7" xfId="0" applyNumberFormat="1" applyFont="1" applyFill="1" applyBorder="1" applyAlignment="1"/>
    <xf numFmtId="0" fontId="34" fillId="3" borderId="7" xfId="0" applyNumberFormat="1" applyFont="1" applyFill="1" applyBorder="1" applyAlignment="1"/>
    <xf numFmtId="0" fontId="34" fillId="3" borderId="7" xfId="0" applyNumberFormat="1" applyFont="1" applyFill="1" applyBorder="1" applyAlignment="1" applyProtection="1">
      <alignment horizontal="right"/>
      <protection locked="0"/>
    </xf>
    <xf numFmtId="0" fontId="34" fillId="3" borderId="8" xfId="0" applyNumberFormat="1" applyFont="1" applyFill="1" applyBorder="1" applyAlignment="1"/>
    <xf numFmtId="3" fontId="34" fillId="3" borderId="5" xfId="0" applyNumberFormat="1" applyFont="1" applyFill="1" applyBorder="1" applyAlignment="1" applyProtection="1">
      <alignment horizontal="right"/>
      <protection locked="0"/>
    </xf>
    <xf numFmtId="4" fontId="34" fillId="3" borderId="0" xfId="0" applyNumberFormat="1" applyFont="1" applyFill="1" applyAlignment="1" applyProtection="1">
      <alignment horizontal="right"/>
      <protection locked="0"/>
    </xf>
    <xf numFmtId="4" fontId="34" fillId="3" borderId="7" xfId="0" applyNumberFormat="1" applyFont="1" applyFill="1" applyBorder="1" applyAlignment="1" applyProtection="1">
      <alignment horizontal="right"/>
      <protection locked="0"/>
    </xf>
    <xf numFmtId="0" fontId="34" fillId="3" borderId="5" xfId="0" applyNumberFormat="1" applyFont="1" applyFill="1" applyBorder="1" applyAlignment="1" applyProtection="1">
      <protection locked="0"/>
    </xf>
    <xf numFmtId="3" fontId="34" fillId="3" borderId="5" xfId="0" applyNumberFormat="1" applyFont="1" applyFill="1" applyBorder="1" applyAlignment="1" applyProtection="1">
      <alignment horizontal="center"/>
      <protection locked="0"/>
    </xf>
    <xf numFmtId="3" fontId="32" fillId="3" borderId="5" xfId="0" applyNumberFormat="1" applyFont="1" applyFill="1" applyBorder="1" applyAlignment="1"/>
    <xf numFmtId="166" fontId="34" fillId="3" borderId="5" xfId="0" applyNumberFormat="1" applyFont="1" applyFill="1" applyBorder="1" applyAlignment="1"/>
    <xf numFmtId="10" fontId="34" fillId="3" borderId="5" xfId="0" applyNumberFormat="1" applyFont="1" applyFill="1" applyBorder="1" applyAlignment="1"/>
    <xf numFmtId="9" fontId="34" fillId="3" borderId="5" xfId="0" applyNumberFormat="1" applyFont="1" applyFill="1" applyBorder="1" applyAlignment="1"/>
    <xf numFmtId="9" fontId="34" fillId="3" borderId="0" xfId="0" applyNumberFormat="1" applyFont="1" applyFill="1" applyAlignment="1"/>
    <xf numFmtId="3" fontId="34" fillId="3" borderId="0" xfId="0" applyNumberFormat="1" applyFont="1" applyFill="1" applyAlignment="1" applyProtection="1">
      <alignment horizontal="right"/>
      <protection locked="0"/>
    </xf>
    <xf numFmtId="0" fontId="35" fillId="3" borderId="0" xfId="0" applyNumberFormat="1" applyFont="1" applyFill="1" applyAlignment="1"/>
    <xf numFmtId="0" fontId="32" fillId="3" borderId="0" xfId="0" quotePrefix="1" applyNumberFormat="1" applyFont="1" applyFill="1" applyAlignment="1">
      <alignment horizontal="center"/>
    </xf>
    <xf numFmtId="0" fontId="38" fillId="3" borderId="0" xfId="0" applyNumberFormat="1" applyFont="1" applyFill="1" applyAlignment="1"/>
    <xf numFmtId="0" fontId="39" fillId="3" borderId="0" xfId="0" applyNumberFormat="1" applyFont="1" applyFill="1" applyAlignment="1"/>
    <xf numFmtId="0" fontId="40" fillId="4" borderId="3" xfId="0" applyNumberFormat="1" applyFont="1" applyFill="1" applyBorder="1" applyAlignment="1"/>
    <xf numFmtId="0" fontId="40" fillId="4" borderId="0" xfId="0" applyNumberFormat="1" applyFont="1" applyFill="1" applyAlignment="1"/>
    <xf numFmtId="0" fontId="41" fillId="4" borderId="0" xfId="0" applyNumberFormat="1" applyFont="1" applyFill="1" applyAlignment="1">
      <alignment horizontal="center" wrapText="1"/>
    </xf>
    <xf numFmtId="0" fontId="42" fillId="4" borderId="0" xfId="0" applyNumberFormat="1" applyFont="1" applyFill="1" applyAlignment="1">
      <alignment horizontal="center" wrapText="1"/>
    </xf>
    <xf numFmtId="0" fontId="40" fillId="4" borderId="0" xfId="0" applyNumberFormat="1" applyFont="1" applyFill="1" applyAlignment="1">
      <alignment horizontal="center" wrapText="1"/>
    </xf>
    <xf numFmtId="0" fontId="43" fillId="4" borderId="0" xfId="0" applyNumberFormat="1" applyFont="1" applyFill="1" applyAlignment="1"/>
    <xf numFmtId="0" fontId="34" fillId="3" borderId="0" xfId="0" applyNumberFormat="1" applyFont="1" applyFill="1" applyBorder="1" applyAlignment="1"/>
    <xf numFmtId="4" fontId="40" fillId="4" borderId="0" xfId="0" applyNumberFormat="1" applyFont="1" applyFill="1" applyAlignment="1" applyProtection="1">
      <alignment horizontal="right"/>
      <protection locked="0"/>
    </xf>
    <xf numFmtId="0" fontId="44" fillId="4" borderId="0" xfId="0" applyNumberFormat="1" applyFont="1" applyFill="1" applyAlignment="1"/>
    <xf numFmtId="0" fontId="44" fillId="4" borderId="0" xfId="0" applyNumberFormat="1" applyFont="1" applyFill="1" applyAlignment="1">
      <alignment horizontal="center"/>
    </xf>
    <xf numFmtId="0" fontId="44" fillId="4" borderId="0" xfId="0" applyNumberFormat="1" applyFont="1" applyFill="1" applyAlignment="1">
      <alignment horizontal="right"/>
    </xf>
    <xf numFmtId="15" fontId="44" fillId="4" borderId="0" xfId="0" applyNumberFormat="1" applyFont="1" applyFill="1" applyAlignment="1">
      <alignment horizontal="right"/>
    </xf>
    <xf numFmtId="0" fontId="40" fillId="4" borderId="1" xfId="0" applyNumberFormat="1" applyFont="1" applyFill="1" applyBorder="1" applyAlignment="1"/>
    <xf numFmtId="0" fontId="40" fillId="4" borderId="2" xfId="0" applyNumberFormat="1" applyFont="1" applyFill="1" applyBorder="1" applyAlignment="1"/>
    <xf numFmtId="4" fontId="40" fillId="4" borderId="2" xfId="0" applyNumberFormat="1" applyFont="1" applyFill="1" applyBorder="1" applyAlignment="1" applyProtection="1">
      <alignment horizontal="right"/>
      <protection locked="0"/>
    </xf>
    <xf numFmtId="0" fontId="44" fillId="4" borderId="2" xfId="0" applyNumberFormat="1" applyFont="1" applyFill="1" applyBorder="1" applyAlignment="1"/>
    <xf numFmtId="15" fontId="44" fillId="4" borderId="2" xfId="0" applyNumberFormat="1" applyFont="1" applyFill="1" applyBorder="1" applyAlignment="1">
      <alignment horizontal="centerContinuous"/>
    </xf>
    <xf numFmtId="15" fontId="44" fillId="4" borderId="2" xfId="0" applyNumberFormat="1" applyFont="1" applyFill="1" applyBorder="1" applyAlignment="1">
      <alignment horizontal="center"/>
    </xf>
    <xf numFmtId="0" fontId="40" fillId="4" borderId="3" xfId="0" applyNumberFormat="1" applyFont="1" applyFill="1" applyBorder="1" applyAlignment="1">
      <alignment horizontal="right"/>
    </xf>
    <xf numFmtId="3" fontId="44" fillId="4" borderId="0" xfId="0" applyNumberFormat="1" applyFont="1" applyFill="1" applyAlignment="1">
      <alignment horizontal="center"/>
    </xf>
    <xf numFmtId="0" fontId="40" fillId="4" borderId="12" xfId="0" applyNumberFormat="1" applyFont="1" applyFill="1" applyBorder="1" applyAlignment="1"/>
    <xf numFmtId="0" fontId="40" fillId="4" borderId="10" xfId="0" applyNumberFormat="1" applyFont="1" applyFill="1" applyBorder="1" applyAlignment="1"/>
    <xf numFmtId="0" fontId="40" fillId="4" borderId="11" xfId="0" applyNumberFormat="1" applyFont="1" applyFill="1" applyBorder="1" applyAlignment="1"/>
    <xf numFmtId="9" fontId="40" fillId="4" borderId="10" xfId="0" applyNumberFormat="1" applyFont="1" applyFill="1" applyBorder="1" applyAlignment="1"/>
    <xf numFmtId="15" fontId="34" fillId="3" borderId="0" xfId="0" applyNumberFormat="1" applyFont="1" applyFill="1" applyBorder="1" applyAlignment="1" applyProtection="1">
      <alignment horizontal="center"/>
      <protection locked="0"/>
    </xf>
    <xf numFmtId="15" fontId="34" fillId="3" borderId="0" xfId="0" applyNumberFormat="1" applyFont="1" applyFill="1" applyBorder="1" applyAlignment="1">
      <alignment horizontal="center"/>
    </xf>
    <xf numFmtId="0" fontId="34" fillId="3" borderId="13" xfId="0" applyNumberFormat="1" applyFont="1" applyFill="1" applyBorder="1" applyAlignment="1"/>
    <xf numFmtId="0" fontId="34" fillId="3" borderId="14" xfId="0" applyNumberFormat="1" applyFont="1" applyFill="1" applyBorder="1" applyAlignment="1"/>
    <xf numFmtId="0" fontId="34" fillId="3" borderId="14" xfId="0" applyNumberFormat="1" applyFont="1" applyFill="1" applyBorder="1" applyAlignment="1">
      <alignment horizontal="center" wrapText="1"/>
    </xf>
    <xf numFmtId="0" fontId="35" fillId="3" borderId="14" xfId="0" applyNumberFormat="1" applyFont="1" applyFill="1" applyBorder="1" applyAlignment="1"/>
    <xf numFmtId="0" fontId="34" fillId="3" borderId="15" xfId="0" applyNumberFormat="1" applyFont="1" applyFill="1" applyBorder="1" applyAlignment="1"/>
    <xf numFmtId="0" fontId="32" fillId="3" borderId="13" xfId="0" applyNumberFormat="1" applyFont="1" applyFill="1" applyBorder="1" applyAlignment="1"/>
    <xf numFmtId="0" fontId="36" fillId="3" borderId="14" xfId="0" applyNumberFormat="1" applyFont="1" applyFill="1" applyBorder="1" applyAlignment="1"/>
    <xf numFmtId="0" fontId="37" fillId="3" borderId="14" xfId="0" applyNumberFormat="1" applyFont="1" applyFill="1" applyBorder="1" applyAlignment="1">
      <alignment horizontal="center" wrapText="1"/>
    </xf>
    <xf numFmtId="0" fontId="32" fillId="3" borderId="14" xfId="0" applyNumberFormat="1" applyFont="1" applyFill="1" applyBorder="1" applyAlignment="1"/>
    <xf numFmtId="0" fontId="34" fillId="3" borderId="14" xfId="0" applyNumberFormat="1" applyFont="1" applyFill="1" applyBorder="1" applyAlignment="1">
      <alignment horizontal="center"/>
    </xf>
    <xf numFmtId="0" fontId="37" fillId="3" borderId="14" xfId="0" applyNumberFormat="1" applyFont="1" applyFill="1" applyBorder="1" applyAlignment="1"/>
    <xf numFmtId="164" fontId="34" fillId="3" borderId="14" xfId="0" applyNumberFormat="1" applyFont="1" applyFill="1" applyBorder="1" applyAlignment="1"/>
    <xf numFmtId="164" fontId="34" fillId="3" borderId="14" xfId="0" applyNumberFormat="1" applyFont="1" applyFill="1" applyBorder="1" applyAlignment="1">
      <alignment horizontal="center"/>
    </xf>
    <xf numFmtId="164" fontId="35" fillId="3" borderId="14" xfId="0" applyNumberFormat="1" applyFont="1" applyFill="1" applyBorder="1" applyAlignment="1"/>
    <xf numFmtId="3" fontId="34" fillId="3" borderId="15" xfId="0" applyNumberFormat="1" applyFont="1" applyFill="1" applyBorder="1" applyAlignment="1"/>
    <xf numFmtId="164" fontId="32" fillId="3" borderId="14" xfId="0" applyNumberFormat="1" applyFont="1" applyFill="1" applyBorder="1" applyAlignment="1"/>
    <xf numFmtId="169" fontId="34" fillId="3" borderId="14" xfId="0" applyNumberFormat="1" applyFont="1" applyFill="1" applyBorder="1" applyAlignment="1">
      <alignment horizontal="center"/>
    </xf>
    <xf numFmtId="168" fontId="34" fillId="3" borderId="14" xfId="0" applyNumberFormat="1" applyFont="1" applyFill="1" applyBorder="1" applyAlignment="1">
      <alignment horizontal="center"/>
    </xf>
    <xf numFmtId="170" fontId="34" fillId="3" borderId="14" xfId="0" applyNumberFormat="1" applyFont="1" applyFill="1" applyBorder="1" applyAlignment="1">
      <alignment horizontal="center"/>
    </xf>
    <xf numFmtId="164" fontId="32" fillId="3" borderId="14" xfId="0" applyNumberFormat="1" applyFont="1" applyFill="1" applyBorder="1" applyAlignment="1">
      <alignment horizontal="center"/>
    </xf>
    <xf numFmtId="164" fontId="38" fillId="3" borderId="14" xfId="0" applyNumberFormat="1" applyFont="1" applyFill="1" applyBorder="1" applyAlignment="1"/>
    <xf numFmtId="169" fontId="32" fillId="3" borderId="14" xfId="0" applyNumberFormat="1" applyFont="1" applyFill="1" applyBorder="1" applyAlignment="1">
      <alignment horizontal="center"/>
    </xf>
    <xf numFmtId="168" fontId="32" fillId="3" borderId="14" xfId="0" applyNumberFormat="1" applyFont="1" applyFill="1" applyBorder="1" applyAlignment="1">
      <alignment horizontal="center"/>
    </xf>
    <xf numFmtId="164" fontId="36" fillId="3" borderId="14" xfId="0" applyNumberFormat="1" applyFont="1" applyFill="1" applyBorder="1" applyAlignment="1">
      <alignment horizontal="center"/>
    </xf>
    <xf numFmtId="164" fontId="37" fillId="3" borderId="14" xfId="0" applyNumberFormat="1" applyFont="1" applyFill="1" applyBorder="1" applyAlignment="1"/>
    <xf numFmtId="4" fontId="37" fillId="3" borderId="14" xfId="0" applyNumberFormat="1" applyFont="1" applyFill="1" applyBorder="1" applyAlignment="1">
      <alignment horizontal="center"/>
    </xf>
    <xf numFmtId="164" fontId="37" fillId="3" borderId="14" xfId="0" applyNumberFormat="1" applyFont="1" applyFill="1" applyBorder="1" applyAlignment="1">
      <alignment horizontal="center"/>
    </xf>
    <xf numFmtId="0" fontId="2" fillId="3" borderId="13" xfId="0" applyNumberFormat="1" applyFont="1" applyFill="1" applyBorder="1" applyAlignment="1"/>
    <xf numFmtId="0" fontId="19" fillId="3" borderId="14" xfId="0" applyNumberFormat="1" applyFont="1" applyFill="1" applyBorder="1" applyAlignment="1"/>
    <xf numFmtId="0" fontId="2" fillId="3" borderId="14" xfId="0" applyNumberFormat="1" applyFont="1" applyFill="1" applyBorder="1" applyAlignment="1"/>
    <xf numFmtId="173" fontId="19" fillId="3" borderId="14" xfId="0" applyNumberFormat="1" applyFont="1" applyFill="1" applyBorder="1" applyAlignment="1">
      <alignment horizontal="center"/>
    </xf>
    <xf numFmtId="173" fontId="19" fillId="3" borderId="14" xfId="0" applyNumberFormat="1" applyFont="1" applyFill="1" applyBorder="1" applyAlignment="1"/>
    <xf numFmtId="0" fontId="2" fillId="3" borderId="14" xfId="0" applyNumberFormat="1" applyFont="1" applyFill="1" applyBorder="1" applyAlignment="1">
      <alignment horizontal="center"/>
    </xf>
    <xf numFmtId="0" fontId="1" fillId="3" borderId="14" xfId="0" applyNumberFormat="1" applyFont="1" applyFill="1" applyBorder="1" applyAlignment="1"/>
    <xf numFmtId="0" fontId="2" fillId="3" borderId="15" xfId="0" applyNumberFormat="1" applyFont="1" applyFill="1" applyBorder="1" applyAlignment="1"/>
    <xf numFmtId="10" fontId="2" fillId="3" borderId="14" xfId="0" applyNumberFormat="1" applyFont="1" applyFill="1" applyBorder="1" applyAlignment="1">
      <alignment horizontal="center"/>
    </xf>
    <xf numFmtId="165" fontId="2" fillId="3" borderId="14" xfId="0" applyNumberFormat="1" applyFont="1" applyFill="1" applyBorder="1" applyAlignment="1">
      <alignment horizontal="center"/>
    </xf>
    <xf numFmtId="10" fontId="34" fillId="3" borderId="14" xfId="0" applyNumberFormat="1" applyFont="1" applyFill="1" applyBorder="1" applyAlignment="1">
      <alignment horizontal="center"/>
    </xf>
    <xf numFmtId="165" fontId="34" fillId="3" borderId="14" xfId="0" applyNumberFormat="1" applyFont="1" applyFill="1" applyBorder="1" applyAlignment="1">
      <alignment horizontal="center"/>
    </xf>
    <xf numFmtId="167" fontId="34" fillId="3" borderId="14" xfId="0" applyNumberFormat="1" applyFont="1" applyFill="1" applyBorder="1" applyAlignment="1">
      <alignment horizontal="center"/>
    </xf>
    <xf numFmtId="0" fontId="36" fillId="3" borderId="14" xfId="0" applyNumberFormat="1" applyFont="1" applyFill="1" applyBorder="1" applyAlignment="1">
      <alignment horizontal="center"/>
    </xf>
    <xf numFmtId="0" fontId="34" fillId="3" borderId="14" xfId="0" applyNumberFormat="1" applyFont="1" applyFill="1" applyBorder="1" applyAlignment="1">
      <alignment horizontal="right"/>
    </xf>
    <xf numFmtId="165" fontId="34" fillId="3" borderId="14" xfId="0" applyNumberFormat="1" applyFont="1" applyFill="1" applyBorder="1" applyAlignment="1"/>
    <xf numFmtId="4" fontId="34" fillId="3" borderId="14" xfId="0" applyNumberFormat="1" applyFont="1" applyFill="1" applyBorder="1" applyAlignment="1">
      <alignment horizontal="center"/>
    </xf>
    <xf numFmtId="4" fontId="32" fillId="3" borderId="14" xfId="0" applyNumberFormat="1" applyFont="1" applyFill="1" applyBorder="1" applyAlignment="1">
      <alignment horizontal="center"/>
    </xf>
    <xf numFmtId="0" fontId="32" fillId="3" borderId="14" xfId="0" applyNumberFormat="1" applyFont="1" applyFill="1" applyBorder="1" applyAlignment="1">
      <alignment horizontal="center"/>
    </xf>
    <xf numFmtId="15" fontId="32" fillId="3" borderId="14" xfId="0" applyNumberFormat="1" applyFont="1" applyFill="1" applyBorder="1" applyAlignment="1">
      <alignment horizontal="center"/>
    </xf>
    <xf numFmtId="15" fontId="32" fillId="3" borderId="14" xfId="0" applyNumberFormat="1" applyFont="1" applyFill="1" applyBorder="1" applyAlignment="1" applyProtection="1">
      <alignment horizontal="center"/>
      <protection locked="0"/>
    </xf>
    <xf numFmtId="15" fontId="34" fillId="3" borderId="14" xfId="0" applyNumberFormat="1" applyFont="1" applyFill="1" applyBorder="1" applyAlignment="1"/>
    <xf numFmtId="15" fontId="34" fillId="3" borderId="14" xfId="0" applyNumberFormat="1" applyFont="1" applyFill="1" applyBorder="1" applyAlignment="1" applyProtection="1">
      <alignment horizontal="center"/>
      <protection locked="0"/>
    </xf>
    <xf numFmtId="15" fontId="34" fillId="3" borderId="14" xfId="0" applyNumberFormat="1" applyFont="1" applyFill="1" applyBorder="1" applyAlignment="1">
      <alignment horizontal="center"/>
    </xf>
    <xf numFmtId="0" fontId="2" fillId="3" borderId="0" xfId="0" applyNumberFormat="1" applyFont="1" applyFill="1" applyBorder="1" applyAlignment="1"/>
    <xf numFmtId="3" fontId="2" fillId="3" borderId="0" xfId="0" applyNumberFormat="1" applyFont="1" applyFill="1" applyBorder="1" applyAlignment="1"/>
    <xf numFmtId="3" fontId="13" fillId="3" borderId="0" xfId="0" applyNumberFormat="1" applyFont="1" applyFill="1" applyBorder="1" applyAlignment="1"/>
    <xf numFmtId="3" fontId="34" fillId="3" borderId="14" xfId="0" applyNumberFormat="1" applyFont="1" applyFill="1" applyBorder="1" applyAlignment="1"/>
    <xf numFmtId="3" fontId="34" fillId="3" borderId="14" xfId="0" applyNumberFormat="1" applyFont="1" applyFill="1" applyBorder="1" applyAlignment="1" applyProtection="1">
      <alignment horizontal="right"/>
      <protection locked="0"/>
    </xf>
    <xf numFmtId="3" fontId="34" fillId="3" borderId="0" xfId="0" applyNumberFormat="1" applyFont="1" applyFill="1" applyBorder="1" applyAlignment="1"/>
    <xf numFmtId="14" fontId="34" fillId="3" borderId="14" xfId="0" applyNumberFormat="1" applyFont="1" applyFill="1" applyBorder="1" applyAlignment="1">
      <alignment horizontal="right"/>
    </xf>
    <xf numFmtId="167" fontId="34" fillId="3" borderId="14" xfId="0" applyNumberFormat="1" applyFont="1" applyFill="1" applyBorder="1" applyAlignment="1">
      <alignment horizontal="right"/>
    </xf>
    <xf numFmtId="0" fontId="21" fillId="3" borderId="14" xfId="0" applyNumberFormat="1" applyFont="1" applyFill="1" applyBorder="1" applyAlignment="1"/>
    <xf numFmtId="3" fontId="2" fillId="3" borderId="14" xfId="0" applyNumberFormat="1" applyFont="1" applyFill="1" applyBorder="1" applyAlignment="1"/>
    <xf numFmtId="3" fontId="13" fillId="3" borderId="14" xfId="0" applyNumberFormat="1" applyFont="1" applyFill="1" applyBorder="1" applyAlignment="1" applyProtection="1">
      <alignment horizontal="right"/>
      <protection locked="0"/>
    </xf>
    <xf numFmtId="0" fontId="45" fillId="3" borderId="14" xfId="0" applyNumberFormat="1" applyFont="1" applyFill="1" applyBorder="1" applyAlignment="1"/>
    <xf numFmtId="4" fontId="34" fillId="3" borderId="14"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2" fontId="34" fillId="3" borderId="14" xfId="0" applyNumberFormat="1" applyFont="1" applyFill="1" applyBorder="1" applyAlignment="1" applyProtection="1">
      <alignment horizontal="right"/>
      <protection locked="0"/>
    </xf>
    <xf numFmtId="4" fontId="34" fillId="3" borderId="0" xfId="0" applyNumberFormat="1" applyFont="1" applyFill="1" applyBorder="1" applyAlignment="1" applyProtection="1">
      <alignment horizontal="right"/>
      <protection locked="0"/>
    </xf>
    <xf numFmtId="0" fontId="34" fillId="3" borderId="0" xfId="0" applyNumberFormat="1" applyFont="1" applyFill="1" applyBorder="1" applyAlignment="1" applyProtection="1">
      <protection locked="0"/>
    </xf>
    <xf numFmtId="0" fontId="13" fillId="3" borderId="13" xfId="0" applyNumberFormat="1" applyFont="1" applyFill="1" applyBorder="1" applyAlignment="1"/>
    <xf numFmtId="15" fontId="32" fillId="3" borderId="14" xfId="0" applyNumberFormat="1" applyFont="1" applyFill="1" applyBorder="1" applyAlignment="1">
      <alignment horizontal="centerContinuous"/>
    </xf>
    <xf numFmtId="17" fontId="34" fillId="3" borderId="14"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2" fillId="3" borderId="0" xfId="0" applyNumberFormat="1" applyFont="1" applyFill="1" applyBorder="1" applyAlignment="1" applyProtection="1">
      <protection locked="0"/>
    </xf>
    <xf numFmtId="0" fontId="16" fillId="3" borderId="0" xfId="0" applyNumberFormat="1" applyFont="1" applyFill="1" applyBorder="1" applyAlignment="1"/>
    <xf numFmtId="0" fontId="13" fillId="3" borderId="13" xfId="0" applyNumberFormat="1" applyFont="1" applyFill="1" applyBorder="1" applyAlignment="1">
      <alignment horizontal="right"/>
    </xf>
    <xf numFmtId="3" fontId="34" fillId="3" borderId="14" xfId="0" applyNumberFormat="1" applyFont="1" applyFill="1" applyBorder="1" applyAlignment="1">
      <alignment horizontal="center"/>
    </xf>
    <xf numFmtId="3" fontId="34" fillId="3" borderId="14" xfId="0" applyNumberFormat="1" applyFont="1" applyFill="1" applyBorder="1" applyAlignment="1" applyProtection="1">
      <alignment horizontal="center"/>
      <protection locked="0"/>
    </xf>
    <xf numFmtId="0" fontId="34" fillId="3" borderId="14" xfId="0" applyNumberFormat="1" applyFont="1" applyFill="1" applyBorder="1" applyAlignment="1" applyProtection="1">
      <protection locked="0"/>
    </xf>
    <xf numFmtId="3" fontId="32" fillId="3" borderId="15" xfId="0" applyNumberFormat="1" applyFont="1" applyFill="1" applyBorder="1" applyAlignment="1"/>
    <xf numFmtId="3" fontId="13" fillId="3" borderId="14" xfId="0" applyNumberFormat="1" applyFont="1" applyFill="1" applyBorder="1" applyAlignment="1"/>
    <xf numFmtId="0" fontId="2" fillId="3" borderId="14" xfId="0" applyNumberFormat="1" applyFont="1" applyFill="1" applyBorder="1" applyAlignment="1" applyProtection="1">
      <protection locked="0"/>
    </xf>
    <xf numFmtId="3" fontId="16" fillId="3" borderId="15" xfId="0" applyNumberFormat="1" applyFont="1" applyFill="1" applyBorder="1" applyAlignment="1"/>
    <xf numFmtId="4" fontId="34" fillId="3" borderId="14" xfId="0" applyNumberFormat="1" applyFont="1" applyFill="1" applyBorder="1" applyAlignment="1" applyProtection="1">
      <alignment horizontal="center"/>
      <protection locked="0"/>
    </xf>
    <xf numFmtId="0" fontId="13" fillId="3" borderId="13" xfId="0" applyNumberFormat="1" applyFont="1" applyFill="1" applyBorder="1" applyAlignment="1">
      <alignment horizontal="center"/>
    </xf>
    <xf numFmtId="0" fontId="13" fillId="3" borderId="14" xfId="0" applyNumberFormat="1" applyFont="1" applyFill="1" applyBorder="1" applyAlignment="1"/>
    <xf numFmtId="0" fontId="16" fillId="3" borderId="15" xfId="0" applyNumberFormat="1" applyFont="1" applyFill="1" applyBorder="1" applyAlignment="1"/>
    <xf numFmtId="0" fontId="13" fillId="3" borderId="14" xfId="0" applyNumberFormat="1" applyFont="1" applyFill="1" applyBorder="1" applyAlignment="1">
      <alignment horizontal="right"/>
    </xf>
    <xf numFmtId="4" fontId="13" fillId="3" borderId="14" xfId="0" applyNumberFormat="1" applyFont="1" applyFill="1" applyBorder="1" applyAlignment="1">
      <alignment horizontal="right"/>
    </xf>
    <xf numFmtId="10" fontId="34" fillId="3" borderId="14" xfId="0" applyNumberFormat="1" applyFont="1" applyFill="1" applyBorder="1" applyAlignment="1" applyProtection="1">
      <alignment horizontal="center"/>
      <protection locked="0"/>
    </xf>
    <xf numFmtId="10" fontId="13" fillId="3" borderId="14" xfId="0" applyNumberFormat="1" applyFont="1" applyFill="1" applyBorder="1" applyAlignment="1" applyProtection="1">
      <alignment horizontal="center"/>
      <protection locked="0"/>
    </xf>
    <xf numFmtId="0" fontId="27" fillId="3" borderId="14" xfId="0" applyNumberFormat="1" applyFont="1" applyFill="1" applyBorder="1" applyAlignment="1"/>
    <xf numFmtId="10" fontId="28" fillId="3" borderId="14" xfId="1" applyNumberFormat="1" applyFont="1" applyFill="1" applyBorder="1" applyAlignment="1">
      <alignment horizontal="left"/>
      <protection locked="0"/>
    </xf>
    <xf numFmtId="9" fontId="34" fillId="3" borderId="0" xfId="0" applyNumberFormat="1" applyFont="1" applyFill="1" applyBorder="1" applyAlignment="1"/>
    <xf numFmtId="10" fontId="34" fillId="3" borderId="0" xfId="0" applyNumberFormat="1" applyFont="1" applyFill="1" applyBorder="1" applyAlignment="1"/>
    <xf numFmtId="3" fontId="34" fillId="3" borderId="0" xfId="0" applyNumberFormat="1" applyFont="1" applyFill="1" applyBorder="1" applyAlignment="1" applyProtection="1">
      <alignment horizontal="right"/>
      <protection locked="0"/>
    </xf>
    <xf numFmtId="166" fontId="34" fillId="3" borderId="14" xfId="0" applyNumberFormat="1" applyFont="1" applyFill="1" applyBorder="1" applyAlignment="1"/>
    <xf numFmtId="10" fontId="34" fillId="3" borderId="14" xfId="0" applyNumberFormat="1" applyFont="1" applyFill="1" applyBorder="1" applyAlignment="1"/>
    <xf numFmtId="0" fontId="32" fillId="3" borderId="15" xfId="0" applyNumberFormat="1" applyFont="1" applyFill="1" applyBorder="1" applyAlignment="1"/>
    <xf numFmtId="9" fontId="34" fillId="3" borderId="14" xfId="0" applyNumberFormat="1" applyFont="1" applyFill="1" applyBorder="1" applyAlignment="1"/>
    <xf numFmtId="3" fontId="37" fillId="3" borderId="14" xfId="0" applyNumberFormat="1" applyFont="1" applyFill="1" applyBorder="1" applyAlignment="1"/>
    <xf numFmtId="3" fontId="32" fillId="3" borderId="14" xfId="0" applyNumberFormat="1" applyFont="1" applyFill="1" applyBorder="1" applyAlignment="1" applyProtection="1">
      <alignment horizontal="right"/>
      <protection locked="0"/>
    </xf>
    <xf numFmtId="10" fontId="34" fillId="3" borderId="16" xfId="0" applyNumberFormat="1" applyFont="1" applyFill="1" applyBorder="1" applyAlignment="1"/>
    <xf numFmtId="0" fontId="32" fillId="3" borderId="14" xfId="0" applyNumberFormat="1" applyFont="1" applyFill="1" applyBorder="1" applyAlignment="1">
      <alignment horizontal="center" wrapText="1"/>
    </xf>
    <xf numFmtId="0" fontId="41" fillId="4" borderId="0" xfId="0" applyNumberFormat="1" applyFont="1" applyFill="1" applyAlignment="1"/>
    <xf numFmtId="0" fontId="41" fillId="4" borderId="0" xfId="0" applyNumberFormat="1" applyFont="1" applyFill="1" applyAlignment="1">
      <alignment horizontal="center"/>
    </xf>
    <xf numFmtId="0" fontId="41" fillId="4" borderId="0" xfId="0" applyNumberFormat="1" applyFont="1" applyFill="1" applyAlignment="1">
      <alignment horizontal="right"/>
    </xf>
    <xf numFmtId="15" fontId="41" fillId="4" borderId="0" xfId="0" applyNumberFormat="1" applyFont="1" applyFill="1" applyAlignment="1">
      <alignment horizontal="right"/>
    </xf>
    <xf numFmtId="0" fontId="41" fillId="4" borderId="2" xfId="0" applyNumberFormat="1" applyFont="1" applyFill="1" applyBorder="1" applyAlignment="1"/>
    <xf numFmtId="15" fontId="41" fillId="4" borderId="2" xfId="0" applyNumberFormat="1" applyFont="1" applyFill="1" applyBorder="1" applyAlignment="1">
      <alignment horizontal="centerContinuous"/>
    </xf>
    <xf numFmtId="15" fontId="41" fillId="4" borderId="2" xfId="0" applyNumberFormat="1" applyFont="1" applyFill="1" applyBorder="1" applyAlignment="1">
      <alignment horizontal="center"/>
    </xf>
    <xf numFmtId="3" fontId="41" fillId="4" borderId="0" xfId="0" applyNumberFormat="1" applyFont="1" applyFill="1" applyAlignment="1">
      <alignment horizontal="center"/>
    </xf>
    <xf numFmtId="3" fontId="32" fillId="3" borderId="14" xfId="0" applyNumberFormat="1" applyFont="1" applyFill="1" applyBorder="1" applyAlignment="1"/>
    <xf numFmtId="0" fontId="34" fillId="3" borderId="17" xfId="0" applyNumberFormat="1" applyFont="1" applyFill="1" applyBorder="1" applyAlignment="1"/>
    <xf numFmtId="172" fontId="34" fillId="3" borderId="14" xfId="0" applyNumberFormat="1" applyFont="1" applyFill="1" applyBorder="1" applyAlignment="1">
      <alignment horizontal="center"/>
    </xf>
    <xf numFmtId="170" fontId="32" fillId="3" borderId="14" xfId="0" applyNumberFormat="1" applyFont="1" applyFill="1" applyBorder="1" applyAlignment="1">
      <alignment horizontal="center"/>
    </xf>
    <xf numFmtId="164" fontId="1" fillId="0" borderId="0" xfId="0" applyNumberFormat="1" applyFont="1" applyAlignment="1"/>
    <xf numFmtId="174" fontId="2" fillId="3" borderId="0" xfId="0" applyNumberFormat="1" applyFont="1" applyFill="1" applyAlignment="1"/>
    <xf numFmtId="172" fontId="11" fillId="3" borderId="0" xfId="0" applyNumberFormat="1" applyFont="1" applyFill="1" applyAlignment="1"/>
    <xf numFmtId="175" fontId="11" fillId="3" borderId="0" xfId="0" applyNumberFormat="1" applyFont="1" applyFill="1" applyAlignment="1"/>
    <xf numFmtId="0" fontId="27" fillId="3" borderId="0" xfId="0" applyNumberFormat="1" applyFont="1" applyFill="1" applyBorder="1" applyAlignment="1"/>
    <xf numFmtId="10" fontId="28" fillId="3" borderId="0" xfId="1" applyNumberFormat="1" applyFont="1" applyFill="1" applyBorder="1" applyAlignment="1">
      <alignment horizontal="left"/>
      <protection locked="0"/>
    </xf>
    <xf numFmtId="0" fontId="47" fillId="3" borderId="1" xfId="0" applyNumberFormat="1" applyFont="1" applyFill="1" applyBorder="1" applyAlignment="1"/>
    <xf numFmtId="0" fontId="47" fillId="3" borderId="2" xfId="0" applyNumberFormat="1" applyFont="1" applyFill="1" applyBorder="1" applyAlignment="1"/>
    <xf numFmtId="0" fontId="47" fillId="0" borderId="3" xfId="0" applyNumberFormat="1" applyFont="1" applyBorder="1"/>
    <xf numFmtId="0" fontId="47" fillId="0" borderId="0" xfId="0" applyNumberFormat="1" applyFont="1" applyAlignment="1"/>
    <xf numFmtId="0" fontId="47" fillId="3" borderId="3" xfId="0" applyNumberFormat="1" applyFont="1" applyFill="1" applyBorder="1" applyAlignment="1"/>
    <xf numFmtId="0" fontId="48" fillId="3" borderId="0" xfId="0" applyNumberFormat="1" applyFont="1" applyFill="1" applyAlignment="1"/>
    <xf numFmtId="0" fontId="47" fillId="3" borderId="0" xfId="0" applyNumberFormat="1" applyFont="1" applyFill="1" applyAlignment="1"/>
    <xf numFmtId="0" fontId="47" fillId="3" borderId="3" xfId="0" applyNumberFormat="1" applyFont="1" applyFill="1" applyBorder="1" applyAlignment="1">
      <alignment horizontal="center"/>
    </xf>
    <xf numFmtId="0" fontId="49" fillId="3" borderId="0" xfId="0" applyNumberFormat="1" applyFont="1" applyFill="1" applyAlignment="1"/>
    <xf numFmtId="0" fontId="50" fillId="3" borderId="0" xfId="0" applyNumberFormat="1" applyFont="1" applyFill="1" applyAlignment="1"/>
    <xf numFmtId="0" fontId="52" fillId="3" borderId="0" xfId="0" applyNumberFormat="1" applyFont="1" applyFill="1" applyAlignment="1"/>
    <xf numFmtId="0" fontId="53" fillId="3" borderId="0" xfId="0" applyNumberFormat="1" applyFont="1" applyFill="1" applyAlignment="1"/>
    <xf numFmtId="0" fontId="47" fillId="3" borderId="0" xfId="0" applyNumberFormat="1" applyFont="1" applyFill="1" applyAlignment="1">
      <alignment horizontal="right"/>
    </xf>
    <xf numFmtId="0" fontId="54" fillId="3" borderId="13" xfId="0" applyNumberFormat="1" applyFont="1" applyFill="1" applyBorder="1" applyAlignment="1"/>
    <xf numFmtId="0" fontId="54" fillId="3" borderId="14" xfId="0" applyNumberFormat="1" applyFont="1" applyFill="1" applyBorder="1" applyAlignment="1"/>
    <xf numFmtId="0" fontId="54" fillId="3" borderId="15" xfId="0" applyNumberFormat="1" applyFont="1" applyFill="1" applyBorder="1" applyAlignment="1"/>
    <xf numFmtId="0" fontId="54" fillId="3" borderId="14" xfId="0" applyNumberFormat="1" applyFont="1" applyFill="1" applyBorder="1" applyAlignment="1">
      <alignment horizontal="center"/>
    </xf>
    <xf numFmtId="0" fontId="47" fillId="3" borderId="13" xfId="0" applyNumberFormat="1" applyFont="1" applyFill="1" applyBorder="1" applyAlignment="1"/>
    <xf numFmtId="0" fontId="47" fillId="3" borderId="14" xfId="0" applyNumberFormat="1" applyFont="1" applyFill="1" applyBorder="1" applyAlignment="1"/>
    <xf numFmtId="0" fontId="47" fillId="3" borderId="15" xfId="0" applyNumberFormat="1" applyFont="1" applyFill="1" applyBorder="1" applyAlignment="1"/>
    <xf numFmtId="0" fontId="54" fillId="3" borderId="0" xfId="0" applyNumberFormat="1" applyFont="1" applyFill="1" applyBorder="1" applyAlignment="1"/>
    <xf numFmtId="0" fontId="54" fillId="3" borderId="0" xfId="0" applyNumberFormat="1" applyFont="1" applyFill="1" applyAlignment="1"/>
    <xf numFmtId="4" fontId="47" fillId="3" borderId="0" xfId="0" applyNumberFormat="1" applyFont="1" applyFill="1" applyAlignment="1" applyProtection="1">
      <alignment horizontal="right"/>
      <protection locked="0"/>
    </xf>
    <xf numFmtId="0" fontId="57" fillId="3" borderId="0" xfId="0" applyNumberFormat="1" applyFont="1" applyFill="1" applyAlignment="1"/>
    <xf numFmtId="0" fontId="47" fillId="3" borderId="0" xfId="0" applyNumberFormat="1" applyFont="1" applyFill="1" applyBorder="1" applyAlignment="1"/>
    <xf numFmtId="3" fontId="47" fillId="3" borderId="0" xfId="0" applyNumberFormat="1" applyFont="1" applyFill="1" applyBorder="1" applyAlignment="1"/>
    <xf numFmtId="3" fontId="58" fillId="3" borderId="0" xfId="0" applyNumberFormat="1" applyFont="1" applyFill="1" applyBorder="1" applyAlignment="1"/>
    <xf numFmtId="3" fontId="47" fillId="3" borderId="0" xfId="0" applyNumberFormat="1" applyFont="1" applyFill="1" applyAlignment="1"/>
    <xf numFmtId="3" fontId="58" fillId="3" borderId="0" xfId="0" applyNumberFormat="1" applyFont="1" applyFill="1" applyAlignment="1"/>
    <xf numFmtId="3" fontId="47" fillId="3" borderId="14" xfId="0" applyNumberFormat="1" applyFont="1" applyFill="1" applyBorder="1" applyAlignment="1"/>
    <xf numFmtId="3" fontId="58" fillId="3" borderId="14" xfId="0" applyNumberFormat="1" applyFont="1" applyFill="1" applyBorder="1" applyAlignment="1" applyProtection="1">
      <alignment horizontal="right"/>
      <protection locked="0"/>
    </xf>
    <xf numFmtId="4" fontId="54" fillId="3" borderId="14" xfId="0" applyNumberFormat="1" applyFont="1" applyFill="1" applyBorder="1" applyAlignment="1" applyProtection="1">
      <alignment horizontal="right"/>
      <protection locked="0"/>
    </xf>
    <xf numFmtId="3" fontId="54" fillId="3" borderId="0" xfId="0" applyNumberFormat="1" applyFont="1" applyFill="1" applyBorder="1" applyAlignment="1"/>
    <xf numFmtId="0" fontId="59" fillId="3" borderId="0" xfId="0" applyNumberFormat="1" applyFont="1" applyFill="1" applyAlignment="1"/>
    <xf numFmtId="4" fontId="47" fillId="3" borderId="0" xfId="0" applyNumberFormat="1" applyFont="1" applyFill="1" applyBorder="1" applyAlignment="1" applyProtection="1">
      <alignment horizontal="right"/>
      <protection locked="0"/>
    </xf>
    <xf numFmtId="4" fontId="58" fillId="3" borderId="0" xfId="0" applyNumberFormat="1" applyFont="1" applyFill="1" applyAlignment="1" applyProtection="1">
      <alignment horizontal="right"/>
      <protection locked="0"/>
    </xf>
    <xf numFmtId="4" fontId="47" fillId="3" borderId="2" xfId="0" applyNumberFormat="1" applyFont="1" applyFill="1" applyBorder="1" applyAlignment="1" applyProtection="1">
      <alignment horizontal="right"/>
      <protection locked="0"/>
    </xf>
    <xf numFmtId="0" fontId="49" fillId="3" borderId="0" xfId="0" applyNumberFormat="1" applyFont="1" applyFill="1" applyAlignment="1">
      <alignment horizontal="right"/>
    </xf>
    <xf numFmtId="0" fontId="60" fillId="3" borderId="0" xfId="0" applyNumberFormat="1" applyFont="1" applyFill="1" applyAlignment="1"/>
    <xf numFmtId="0" fontId="47" fillId="3" borderId="0" xfId="0" applyNumberFormat="1" applyFont="1" applyFill="1" applyAlignment="1" applyProtection="1">
      <protection locked="0"/>
    </xf>
    <xf numFmtId="0" fontId="58" fillId="3" borderId="3" xfId="0" applyNumberFormat="1" applyFont="1" applyFill="1" applyBorder="1" applyAlignment="1"/>
    <xf numFmtId="0" fontId="61" fillId="3" borderId="0" xfId="0" applyNumberFormat="1" applyFont="1" applyFill="1" applyAlignment="1"/>
    <xf numFmtId="15" fontId="62" fillId="3" borderId="0" xfId="0" applyNumberFormat="1" applyFont="1" applyFill="1" applyAlignment="1">
      <alignment horizontal="centerContinuous"/>
    </xf>
    <xf numFmtId="15" fontId="62" fillId="3" borderId="0" xfId="0" applyNumberFormat="1" applyFont="1" applyFill="1" applyAlignment="1">
      <alignment horizontal="center"/>
    </xf>
    <xf numFmtId="4" fontId="54" fillId="3" borderId="0" xfId="0" applyNumberFormat="1" applyFont="1" applyFill="1" applyBorder="1" applyAlignment="1" applyProtection="1">
      <alignment horizontal="right"/>
      <protection locked="0"/>
    </xf>
    <xf numFmtId="0" fontId="54" fillId="3" borderId="0" xfId="0" applyNumberFormat="1" applyFont="1" applyFill="1" applyBorder="1" applyAlignment="1" applyProtection="1">
      <protection locked="0"/>
    </xf>
    <xf numFmtId="0" fontId="58" fillId="3" borderId="13" xfId="0" applyNumberFormat="1" applyFont="1" applyFill="1" applyBorder="1" applyAlignment="1">
      <alignment horizontal="right"/>
    </xf>
    <xf numFmtId="3" fontId="54" fillId="3" borderId="14" xfId="0" applyNumberFormat="1" applyFont="1" applyFill="1" applyBorder="1" applyAlignment="1" applyProtection="1">
      <alignment horizontal="center"/>
      <protection locked="0"/>
    </xf>
    <xf numFmtId="3" fontId="58" fillId="3" borderId="14" xfId="0" applyNumberFormat="1" applyFont="1" applyFill="1" applyBorder="1" applyAlignment="1"/>
    <xf numFmtId="0" fontId="47" fillId="3" borderId="14" xfId="0" applyNumberFormat="1" applyFont="1" applyFill="1" applyBorder="1" applyAlignment="1" applyProtection="1">
      <protection locked="0"/>
    </xf>
    <xf numFmtId="3" fontId="62" fillId="3" borderId="15" xfId="0" applyNumberFormat="1" applyFont="1" applyFill="1" applyBorder="1" applyAlignment="1"/>
    <xf numFmtId="0" fontId="58" fillId="3" borderId="13" xfId="0" applyNumberFormat="1" applyFont="1" applyFill="1" applyBorder="1" applyAlignment="1">
      <alignment horizontal="center"/>
    </xf>
    <xf numFmtId="0" fontId="58" fillId="3" borderId="14" xfId="0" applyNumberFormat="1" applyFont="1" applyFill="1" applyBorder="1" applyAlignment="1"/>
    <xf numFmtId="0" fontId="62" fillId="3" borderId="15" xfId="0" applyNumberFormat="1" applyFont="1" applyFill="1" applyBorder="1" applyAlignment="1"/>
    <xf numFmtId="0" fontId="58" fillId="3" borderId="14" xfId="0" applyNumberFormat="1" applyFont="1" applyFill="1" applyBorder="1" applyAlignment="1">
      <alignment horizontal="right"/>
    </xf>
    <xf numFmtId="4" fontId="58" fillId="3" borderId="14" xfId="0" applyNumberFormat="1" applyFont="1" applyFill="1" applyBorder="1" applyAlignment="1">
      <alignment horizontal="right"/>
    </xf>
    <xf numFmtId="10" fontId="54" fillId="3" borderId="14" xfId="0" applyNumberFormat="1" applyFont="1" applyFill="1" applyBorder="1" applyAlignment="1" applyProtection="1">
      <alignment horizontal="center"/>
      <protection locked="0"/>
    </xf>
    <xf numFmtId="10" fontId="58" fillId="3" borderId="14" xfId="0" applyNumberFormat="1" applyFont="1" applyFill="1" applyBorder="1" applyAlignment="1" applyProtection="1">
      <alignment horizontal="center"/>
      <protection locked="0"/>
    </xf>
    <xf numFmtId="0" fontId="58" fillId="3" borderId="3" xfId="0" applyNumberFormat="1" applyFont="1" applyFill="1" applyBorder="1" applyAlignment="1">
      <alignment horizontal="right"/>
    </xf>
    <xf numFmtId="0" fontId="58" fillId="3" borderId="0" xfId="0" applyNumberFormat="1" applyFont="1" applyFill="1" applyBorder="1" applyAlignment="1"/>
    <xf numFmtId="0" fontId="58" fillId="3" borderId="0" xfId="0" applyNumberFormat="1" applyFont="1" applyFill="1" applyBorder="1" applyAlignment="1">
      <alignment horizontal="right"/>
    </xf>
    <xf numFmtId="4" fontId="58" fillId="3" borderId="0" xfId="0" applyNumberFormat="1" applyFont="1" applyFill="1" applyBorder="1" applyAlignment="1">
      <alignment horizontal="right"/>
    </xf>
    <xf numFmtId="10" fontId="58" fillId="3" borderId="0" xfId="0" applyNumberFormat="1" applyFont="1" applyFill="1" applyBorder="1" applyAlignment="1" applyProtection="1">
      <alignment horizontal="center"/>
      <protection locked="0"/>
    </xf>
    <xf numFmtId="0" fontId="47" fillId="3" borderId="0" xfId="0" applyNumberFormat="1" applyFont="1" applyFill="1" applyBorder="1" applyAlignment="1" applyProtection="1">
      <protection locked="0"/>
    </xf>
    <xf numFmtId="0" fontId="62" fillId="3" borderId="0" xfId="0" applyNumberFormat="1" applyFont="1" applyFill="1" applyBorder="1" applyAlignment="1"/>
    <xf numFmtId="9" fontId="54" fillId="3" borderId="0" xfId="0" applyNumberFormat="1" applyFont="1" applyFill="1" applyBorder="1" applyAlignment="1"/>
    <xf numFmtId="10" fontId="54" fillId="3" borderId="0" xfId="0" applyNumberFormat="1" applyFont="1" applyFill="1" applyBorder="1" applyAlignment="1"/>
    <xf numFmtId="3" fontId="54" fillId="3" borderId="0" xfId="0" applyNumberFormat="1" applyFont="1" applyFill="1" applyBorder="1" applyAlignment="1" applyProtection="1">
      <alignment horizontal="right"/>
      <protection locked="0"/>
    </xf>
    <xf numFmtId="0" fontId="53" fillId="3" borderId="0" xfId="0" quotePrefix="1" applyNumberFormat="1" applyFont="1" applyFill="1" applyAlignment="1">
      <alignment horizontal="center"/>
    </xf>
    <xf numFmtId="10" fontId="51" fillId="3" borderId="0" xfId="1" applyNumberFormat="1" applyFont="1" applyFill="1" applyBorder="1" applyAlignment="1">
      <alignment horizontal="left"/>
      <protection locked="0"/>
    </xf>
    <xf numFmtId="0" fontId="47" fillId="0" borderId="2" xfId="0" applyNumberFormat="1" applyFont="1" applyBorder="1"/>
    <xf numFmtId="0" fontId="63" fillId="5" borderId="0" xfId="1" applyNumberFormat="1" applyFont="1" applyFill="1" applyAlignment="1" applyProtection="1"/>
    <xf numFmtId="0" fontId="64" fillId="5" borderId="14" xfId="1" applyNumberFormat="1" applyFont="1" applyFill="1" applyBorder="1" applyAlignment="1" applyProtection="1"/>
    <xf numFmtId="0" fontId="65" fillId="5" borderId="0" xfId="0" applyNumberFormat="1" applyFont="1" applyFill="1" applyAlignment="1"/>
    <xf numFmtId="0" fontId="66" fillId="3" borderId="0" xfId="0" applyNumberFormat="1" applyFont="1" applyFill="1" applyBorder="1" applyAlignment="1"/>
    <xf numFmtId="0" fontId="66" fillId="3" borderId="14" xfId="0" applyNumberFormat="1" applyFont="1" applyFill="1" applyBorder="1" applyAlignment="1"/>
    <xf numFmtId="0" fontId="67" fillId="3" borderId="14" xfId="0" applyNumberFormat="1" applyFont="1" applyFill="1" applyBorder="1" applyAlignment="1"/>
    <xf numFmtId="0" fontId="63" fillId="3" borderId="0" xfId="0" applyNumberFormat="1" applyFont="1" applyFill="1" applyAlignment="1"/>
    <xf numFmtId="0" fontId="67" fillId="3" borderId="0" xfId="0" applyNumberFormat="1" applyFont="1" applyFill="1" applyAlignment="1">
      <alignment horizontal="right"/>
    </xf>
    <xf numFmtId="4" fontId="67" fillId="3" borderId="0" xfId="0" applyNumberFormat="1" applyFont="1" applyFill="1" applyAlignment="1" applyProtection="1">
      <alignment horizontal="right"/>
      <protection locked="0"/>
    </xf>
    <xf numFmtId="0" fontId="63" fillId="3" borderId="14" xfId="0" applyNumberFormat="1" applyFont="1" applyFill="1" applyBorder="1" applyAlignment="1"/>
    <xf numFmtId="0" fontId="67" fillId="3" borderId="0" xfId="0" applyNumberFormat="1" applyFont="1" applyFill="1" applyAlignment="1"/>
    <xf numFmtId="0" fontId="68" fillId="3" borderId="3" xfId="0" applyNumberFormat="1" applyFont="1" applyFill="1" applyBorder="1" applyAlignment="1"/>
    <xf numFmtId="0" fontId="67" fillId="3" borderId="0" xfId="0" applyNumberFormat="1" applyFont="1" applyFill="1" applyAlignment="1">
      <alignment horizontal="left" vertical="top" wrapText="1"/>
    </xf>
    <xf numFmtId="0" fontId="67" fillId="3" borderId="0" xfId="0" applyNumberFormat="1" applyFont="1" applyFill="1" applyAlignment="1">
      <alignment horizontal="center" vertical="top" wrapText="1"/>
    </xf>
    <xf numFmtId="4" fontId="67" fillId="3" borderId="0" xfId="0" applyNumberFormat="1" applyFont="1" applyFill="1" applyAlignment="1" applyProtection="1">
      <alignment horizontal="center" vertical="top" wrapText="1"/>
      <protection locked="0"/>
    </xf>
    <xf numFmtId="0" fontId="68" fillId="3" borderId="0" xfId="0" applyNumberFormat="1" applyFont="1" applyFill="1" applyAlignment="1"/>
    <xf numFmtId="0" fontId="68" fillId="0" borderId="3" xfId="0" applyNumberFormat="1" applyFont="1" applyBorder="1"/>
    <xf numFmtId="0" fontId="68" fillId="0" borderId="0" xfId="0" applyNumberFormat="1" applyFont="1" applyAlignment="1"/>
    <xf numFmtId="0" fontId="68" fillId="3" borderId="13" xfId="0" applyNumberFormat="1" applyFont="1" applyFill="1" applyBorder="1" applyAlignment="1"/>
    <xf numFmtId="0" fontId="68" fillId="3" borderId="14" xfId="0" applyNumberFormat="1" applyFont="1" applyFill="1" applyBorder="1" applyAlignment="1"/>
    <xf numFmtId="173" fontId="67" fillId="3" borderId="14" xfId="0" applyNumberFormat="1" applyFont="1" applyFill="1" applyBorder="1" applyAlignment="1">
      <alignment horizontal="center"/>
    </xf>
    <xf numFmtId="173" fontId="67" fillId="3" borderId="14" xfId="0" applyNumberFormat="1" applyFont="1" applyFill="1" applyBorder="1" applyAlignment="1"/>
    <xf numFmtId="0" fontId="68" fillId="3" borderId="14" xfId="0" applyNumberFormat="1" applyFont="1" applyFill="1" applyBorder="1" applyAlignment="1">
      <alignment horizontal="center"/>
    </xf>
    <xf numFmtId="0" fontId="68" fillId="3" borderId="15" xfId="0" applyNumberFormat="1" applyFont="1" applyFill="1" applyBorder="1" applyAlignment="1"/>
    <xf numFmtId="10" fontId="68" fillId="3" borderId="14" xfId="0" applyNumberFormat="1" applyFont="1" applyFill="1" applyBorder="1" applyAlignment="1">
      <alignment horizontal="center"/>
    </xf>
    <xf numFmtId="165" fontId="68" fillId="3" borderId="14" xfId="0" applyNumberFormat="1" applyFont="1" applyFill="1" applyBorder="1" applyAlignment="1">
      <alignment horizontal="center"/>
    </xf>
    <xf numFmtId="0" fontId="66" fillId="3" borderId="0" xfId="0" applyNumberFormat="1" applyFont="1" applyFill="1" applyAlignment="1"/>
    <xf numFmtId="0" fontId="69" fillId="3" borderId="2" xfId="0" applyNumberFormat="1" applyFont="1" applyFill="1" applyBorder="1" applyAlignment="1"/>
    <xf numFmtId="0" fontId="70" fillId="3" borderId="0" xfId="0" applyNumberFormat="1" applyFont="1" applyFill="1" applyAlignment="1"/>
    <xf numFmtId="0" fontId="65" fillId="3" borderId="0" xfId="0" applyNumberFormat="1" applyFont="1" applyFill="1" applyAlignment="1"/>
    <xf numFmtId="0" fontId="71" fillId="3" borderId="1" xfId="0" applyNumberFormat="1" applyFont="1" applyFill="1" applyBorder="1" applyAlignment="1"/>
    <xf numFmtId="0" fontId="71" fillId="3" borderId="2" xfId="0" applyNumberFormat="1" applyFont="1" applyFill="1" applyBorder="1" applyAlignment="1"/>
    <xf numFmtId="0" fontId="71" fillId="0" borderId="3" xfId="0" applyNumberFormat="1" applyFont="1" applyBorder="1"/>
    <xf numFmtId="0" fontId="71" fillId="0" borderId="0" xfId="0" applyNumberFormat="1" applyFont="1" applyAlignment="1"/>
    <xf numFmtId="0" fontId="71" fillId="3" borderId="3" xfId="0" applyNumberFormat="1" applyFont="1" applyFill="1" applyBorder="1" applyAlignment="1"/>
    <xf numFmtId="0" fontId="71" fillId="3" borderId="0" xfId="0" applyNumberFormat="1" applyFont="1" applyFill="1" applyAlignment="1"/>
    <xf numFmtId="0" fontId="72" fillId="3" borderId="0" xfId="0" applyNumberFormat="1" applyFont="1" applyFill="1" applyAlignment="1">
      <alignment horizontal="center" wrapText="1"/>
    </xf>
    <xf numFmtId="175" fontId="71" fillId="3" borderId="0" xfId="0" applyNumberFormat="1" applyFont="1" applyFill="1" applyAlignment="1"/>
    <xf numFmtId="9" fontId="65" fillId="3" borderId="0" xfId="0" applyNumberFormat="1" applyFont="1" applyFill="1" applyAlignment="1">
      <alignment horizontal="center"/>
    </xf>
    <xf numFmtId="10" fontId="65" fillId="3" borderId="0" xfId="0" applyNumberFormat="1" applyFont="1" applyFill="1" applyAlignment="1">
      <alignment horizontal="center"/>
    </xf>
    <xf numFmtId="0" fontId="65" fillId="3" borderId="0" xfId="0" applyNumberFormat="1" applyFont="1" applyFill="1" applyAlignment="1">
      <alignment horizontal="center"/>
    </xf>
    <xf numFmtId="172" fontId="71" fillId="3" borderId="0" xfId="0" applyNumberFormat="1" applyFont="1" applyFill="1" applyAlignment="1"/>
    <xf numFmtId="15" fontId="65" fillId="3" borderId="0" xfId="0" applyNumberFormat="1" applyFont="1" applyFill="1" applyAlignment="1">
      <alignment horizontal="center"/>
    </xf>
    <xf numFmtId="174" fontId="71" fillId="3" borderId="0" xfId="0" applyNumberFormat="1" applyFont="1" applyFill="1" applyAlignment="1"/>
    <xf numFmtId="0" fontId="71" fillId="3" borderId="0" xfId="0" applyNumberFormat="1" applyFont="1" applyFill="1" applyAlignment="1">
      <alignment horizontal="center"/>
    </xf>
    <xf numFmtId="0" fontId="72" fillId="3" borderId="0" xfId="0" applyNumberFormat="1" applyFont="1" applyFill="1" applyAlignment="1"/>
    <xf numFmtId="0" fontId="71" fillId="3" borderId="13" xfId="0" applyNumberFormat="1" applyFont="1" applyFill="1" applyBorder="1" applyAlignment="1"/>
    <xf numFmtId="0" fontId="71" fillId="3" borderId="14" xfId="0" applyNumberFormat="1" applyFont="1" applyFill="1" applyBorder="1" applyAlignment="1"/>
    <xf numFmtId="0" fontId="71" fillId="3" borderId="14" xfId="0" applyNumberFormat="1" applyFont="1" applyFill="1" applyBorder="1" applyAlignment="1">
      <alignment horizontal="center" wrapText="1"/>
    </xf>
    <xf numFmtId="0" fontId="71" fillId="3" borderId="15" xfId="0" applyNumberFormat="1" applyFont="1" applyFill="1" applyBorder="1" applyAlignment="1"/>
    <xf numFmtId="0" fontId="65" fillId="3" borderId="13" xfId="0" applyNumberFormat="1" applyFont="1" applyFill="1" applyBorder="1" applyAlignment="1"/>
    <xf numFmtId="0" fontId="65" fillId="3" borderId="14" xfId="0" applyNumberFormat="1" applyFont="1" applyFill="1" applyBorder="1" applyAlignment="1">
      <alignment horizontal="center" wrapText="1"/>
    </xf>
    <xf numFmtId="0" fontId="65" fillId="3" borderId="14" xfId="0" applyNumberFormat="1" applyFont="1" applyFill="1" applyBorder="1" applyAlignment="1"/>
    <xf numFmtId="0" fontId="71" fillId="3" borderId="14" xfId="0" applyNumberFormat="1" applyFont="1" applyFill="1" applyBorder="1" applyAlignment="1">
      <alignment horizontal="center"/>
    </xf>
    <xf numFmtId="164" fontId="71" fillId="3" borderId="14" xfId="0" applyNumberFormat="1" applyFont="1" applyFill="1" applyBorder="1" applyAlignment="1"/>
    <xf numFmtId="164" fontId="71" fillId="3" borderId="14" xfId="0" applyNumberFormat="1" applyFont="1" applyFill="1" applyBorder="1" applyAlignment="1">
      <alignment horizontal="center"/>
    </xf>
    <xf numFmtId="3" fontId="71" fillId="3" borderId="15" xfId="0" applyNumberFormat="1" applyFont="1" applyFill="1" applyBorder="1" applyAlignment="1"/>
    <xf numFmtId="164" fontId="65" fillId="3" borderId="14" xfId="0" applyNumberFormat="1" applyFont="1" applyFill="1" applyBorder="1" applyAlignment="1"/>
    <xf numFmtId="169" fontId="71" fillId="3" borderId="14" xfId="0" applyNumberFormat="1" applyFont="1" applyFill="1" applyBorder="1" applyAlignment="1">
      <alignment horizontal="center"/>
    </xf>
    <xf numFmtId="168" fontId="71" fillId="3" borderId="14" xfId="0" applyNumberFormat="1" applyFont="1" applyFill="1" applyBorder="1" applyAlignment="1">
      <alignment horizontal="center"/>
    </xf>
    <xf numFmtId="170" fontId="71" fillId="3" borderId="14" xfId="0" applyNumberFormat="1" applyFont="1" applyFill="1" applyBorder="1" applyAlignment="1">
      <alignment horizontal="center"/>
    </xf>
    <xf numFmtId="164" fontId="65" fillId="3" borderId="14" xfId="0" applyNumberFormat="1" applyFont="1" applyFill="1" applyBorder="1" applyAlignment="1">
      <alignment horizontal="center"/>
    </xf>
    <xf numFmtId="170" fontId="65" fillId="3" borderId="14" xfId="0" applyNumberFormat="1" applyFont="1" applyFill="1" applyBorder="1" applyAlignment="1">
      <alignment horizontal="center"/>
    </xf>
    <xf numFmtId="168" fontId="65" fillId="3" borderId="14" xfId="0" applyNumberFormat="1" applyFont="1" applyFill="1" applyBorder="1" applyAlignment="1">
      <alignment horizontal="center"/>
    </xf>
    <xf numFmtId="164" fontId="71" fillId="0" borderId="0" xfId="0" applyNumberFormat="1" applyFont="1" applyAlignment="1"/>
    <xf numFmtId="4" fontId="65" fillId="3" borderId="14" xfId="0" applyNumberFormat="1" applyFont="1" applyFill="1" applyBorder="1" applyAlignment="1">
      <alignment horizontal="center"/>
    </xf>
    <xf numFmtId="10" fontId="71" fillId="3" borderId="14" xfId="0" applyNumberFormat="1" applyFont="1" applyFill="1" applyBorder="1" applyAlignment="1">
      <alignment horizontal="center"/>
    </xf>
    <xf numFmtId="165" fontId="71" fillId="3" borderId="14" xfId="0" applyNumberFormat="1" applyFont="1" applyFill="1" applyBorder="1" applyAlignment="1">
      <alignment horizontal="center"/>
    </xf>
    <xf numFmtId="167" fontId="71" fillId="3" borderId="14" xfId="0" applyNumberFormat="1" applyFont="1" applyFill="1" applyBorder="1" applyAlignment="1">
      <alignment horizontal="center"/>
    </xf>
    <xf numFmtId="0" fontId="71" fillId="3" borderId="14" xfId="0" applyNumberFormat="1" applyFont="1" applyFill="1" applyBorder="1" applyAlignment="1">
      <alignment horizontal="right"/>
    </xf>
    <xf numFmtId="165" fontId="71" fillId="3" borderId="14" xfId="0" applyNumberFormat="1" applyFont="1" applyFill="1" applyBorder="1" applyAlignment="1"/>
    <xf numFmtId="172" fontId="71" fillId="3" borderId="14" xfId="0" applyNumberFormat="1" applyFont="1" applyFill="1" applyBorder="1" applyAlignment="1">
      <alignment horizontal="center"/>
    </xf>
    <xf numFmtId="4" fontId="71" fillId="3" borderId="14" xfId="0" applyNumberFormat="1" applyFont="1" applyFill="1" applyBorder="1" applyAlignment="1">
      <alignment horizontal="center"/>
    </xf>
    <xf numFmtId="0" fontId="65" fillId="3" borderId="14" xfId="0" applyNumberFormat="1" applyFont="1" applyFill="1" applyBorder="1" applyAlignment="1">
      <alignment horizontal="center"/>
    </xf>
    <xf numFmtId="15" fontId="65" fillId="3" borderId="14" xfId="0" applyNumberFormat="1" applyFont="1" applyFill="1" applyBorder="1" applyAlignment="1">
      <alignment horizontal="center"/>
    </xf>
    <xf numFmtId="15" fontId="65" fillId="3" borderId="14" xfId="0" applyNumberFormat="1" applyFont="1" applyFill="1" applyBorder="1" applyAlignment="1" applyProtection="1">
      <alignment horizontal="center"/>
      <protection locked="0"/>
    </xf>
    <xf numFmtId="15" fontId="71" fillId="3" borderId="14" xfId="0" applyNumberFormat="1" applyFont="1" applyFill="1" applyBorder="1" applyAlignment="1"/>
    <xf numFmtId="15" fontId="71" fillId="3" borderId="14" xfId="0" applyNumberFormat="1" applyFont="1" applyFill="1" applyBorder="1" applyAlignment="1" applyProtection="1">
      <alignment horizontal="center"/>
      <protection locked="0"/>
    </xf>
    <xf numFmtId="15" fontId="71" fillId="3" borderId="14" xfId="0" applyNumberFormat="1" applyFont="1" applyFill="1" applyBorder="1" applyAlignment="1">
      <alignment horizontal="center"/>
    </xf>
    <xf numFmtId="0" fontId="71" fillId="0" borderId="0" xfId="0" applyNumberFormat="1" applyFont="1" applyFill="1" applyBorder="1" applyAlignment="1"/>
    <xf numFmtId="0" fontId="71" fillId="3" borderId="0" xfId="0" applyNumberFormat="1" applyFont="1" applyFill="1" applyBorder="1" applyAlignment="1"/>
    <xf numFmtId="15" fontId="71" fillId="3" borderId="0" xfId="0" applyNumberFormat="1" applyFont="1" applyFill="1" applyBorder="1" applyAlignment="1" applyProtection="1">
      <alignment horizontal="center"/>
      <protection locked="0"/>
    </xf>
    <xf numFmtId="15" fontId="71" fillId="3" borderId="0" xfId="0" applyNumberFormat="1" applyFont="1" applyFill="1" applyBorder="1" applyAlignment="1">
      <alignment horizontal="center"/>
    </xf>
    <xf numFmtId="15" fontId="71" fillId="3" borderId="0" xfId="0" applyNumberFormat="1" applyFont="1" applyFill="1" applyAlignment="1" applyProtection="1">
      <alignment horizontal="center"/>
      <protection locked="0"/>
    </xf>
    <xf numFmtId="15" fontId="71" fillId="3" borderId="0" xfId="0" applyNumberFormat="1" applyFont="1" applyFill="1" applyAlignment="1">
      <alignment horizontal="center"/>
    </xf>
    <xf numFmtId="0" fontId="71" fillId="3" borderId="6" xfId="0" applyNumberFormat="1" applyFont="1" applyFill="1" applyBorder="1" applyAlignment="1"/>
    <xf numFmtId="0" fontId="73" fillId="3" borderId="7" xfId="0" applyNumberFormat="1" applyFont="1" applyFill="1" applyBorder="1" applyAlignment="1"/>
    <xf numFmtId="0" fontId="71" fillId="3" borderId="7" xfId="0" applyNumberFormat="1" applyFont="1" applyFill="1" applyBorder="1" applyAlignment="1"/>
    <xf numFmtId="0" fontId="71" fillId="3" borderId="7" xfId="0" applyNumberFormat="1" applyFont="1" applyFill="1" applyBorder="1" applyAlignment="1" applyProtection="1">
      <alignment horizontal="right"/>
      <protection locked="0"/>
    </xf>
    <xf numFmtId="0" fontId="71" fillId="3" borderId="8" xfId="0" applyNumberFormat="1" applyFont="1" applyFill="1" applyBorder="1" applyAlignment="1"/>
    <xf numFmtId="3" fontId="71" fillId="3" borderId="14" xfId="0" applyNumberFormat="1" applyFont="1" applyFill="1" applyBorder="1" applyAlignment="1"/>
    <xf numFmtId="3" fontId="71" fillId="3" borderId="14" xfId="0" applyNumberFormat="1" applyFont="1" applyFill="1" applyBorder="1" applyAlignment="1" applyProtection="1">
      <alignment horizontal="right"/>
      <protection locked="0"/>
    </xf>
    <xf numFmtId="14" fontId="71" fillId="3" borderId="14" xfId="0" applyNumberFormat="1" applyFont="1" applyFill="1" applyBorder="1" applyAlignment="1">
      <alignment horizontal="right"/>
    </xf>
    <xf numFmtId="167" fontId="71" fillId="3" borderId="14" xfId="0" applyNumberFormat="1" applyFont="1" applyFill="1" applyBorder="1" applyAlignment="1">
      <alignment horizontal="right"/>
    </xf>
    <xf numFmtId="0" fontId="71" fillId="3" borderId="17" xfId="0" applyNumberFormat="1" applyFont="1" applyFill="1" applyBorder="1" applyAlignment="1"/>
    <xf numFmtId="3" fontId="71" fillId="0" borderId="3" xfId="0" applyNumberFormat="1" applyFont="1" applyBorder="1"/>
    <xf numFmtId="3" fontId="71" fillId="0" borderId="0" xfId="0" applyNumberFormat="1" applyFont="1" applyAlignment="1"/>
    <xf numFmtId="3" fontId="71" fillId="3" borderId="0" xfId="0" applyNumberFormat="1" applyFont="1" applyFill="1" applyBorder="1" applyAlignment="1"/>
    <xf numFmtId="4" fontId="71" fillId="3" borderId="0" xfId="0" applyNumberFormat="1" applyFont="1" applyFill="1" applyAlignment="1" applyProtection="1">
      <alignment horizontal="right"/>
      <protection locked="0"/>
    </xf>
    <xf numFmtId="4" fontId="71" fillId="3" borderId="7" xfId="0" applyNumberFormat="1" applyFont="1" applyFill="1" applyBorder="1" applyAlignment="1" applyProtection="1">
      <alignment horizontal="right"/>
      <protection locked="0"/>
    </xf>
    <xf numFmtId="4" fontId="71" fillId="3" borderId="14" xfId="0" applyNumberFormat="1" applyFont="1" applyFill="1" applyBorder="1" applyAlignment="1" applyProtection="1">
      <alignment horizontal="right"/>
      <protection locked="0"/>
    </xf>
    <xf numFmtId="2" fontId="71" fillId="3" borderId="14" xfId="0" applyNumberFormat="1" applyFont="1" applyFill="1" applyBorder="1" applyAlignment="1" applyProtection="1">
      <alignment horizontal="right"/>
      <protection locked="0"/>
    </xf>
    <xf numFmtId="15" fontId="65" fillId="3" borderId="14" xfId="0" applyNumberFormat="1" applyFont="1" applyFill="1" applyBorder="1" applyAlignment="1">
      <alignment horizontal="centerContinuous"/>
    </xf>
    <xf numFmtId="17" fontId="71" fillId="3" borderId="14" xfId="0" applyNumberFormat="1" applyFont="1" applyFill="1" applyBorder="1" applyAlignment="1">
      <alignment horizontal="center"/>
    </xf>
    <xf numFmtId="0" fontId="71" fillId="3" borderId="13" xfId="0" applyNumberFormat="1" applyFont="1" applyFill="1" applyBorder="1" applyAlignment="1">
      <alignment horizontal="right"/>
    </xf>
    <xf numFmtId="3" fontId="71" fillId="3" borderId="14" xfId="0" applyNumberFormat="1" applyFont="1" applyFill="1" applyBorder="1" applyAlignment="1">
      <alignment horizontal="center"/>
    </xf>
    <xf numFmtId="3" fontId="71" fillId="3" borderId="14" xfId="0" applyNumberFormat="1" applyFont="1" applyFill="1" applyBorder="1" applyAlignment="1" applyProtection="1">
      <alignment horizontal="center"/>
      <protection locked="0"/>
    </xf>
    <xf numFmtId="0" fontId="71" fillId="3" borderId="14" xfId="0" applyNumberFormat="1" applyFont="1" applyFill="1" applyBorder="1" applyAlignment="1" applyProtection="1">
      <protection locked="0"/>
    </xf>
    <xf numFmtId="3" fontId="65" fillId="3" borderId="15" xfId="0" applyNumberFormat="1" applyFont="1" applyFill="1" applyBorder="1" applyAlignment="1"/>
    <xf numFmtId="0" fontId="71" fillId="3" borderId="13" xfId="0" applyNumberFormat="1" applyFont="1" applyFill="1" applyBorder="1" applyAlignment="1">
      <alignment horizontal="center"/>
    </xf>
    <xf numFmtId="0" fontId="65" fillId="3" borderId="15" xfId="0" applyNumberFormat="1" applyFont="1" applyFill="1" applyBorder="1" applyAlignment="1"/>
    <xf numFmtId="4" fontId="71" fillId="3" borderId="14" xfId="0" applyNumberFormat="1" applyFont="1" applyFill="1" applyBorder="1" applyAlignment="1" applyProtection="1">
      <alignment horizontal="center"/>
      <protection locked="0"/>
    </xf>
    <xf numFmtId="4" fontId="71" fillId="3" borderId="14" xfId="0" applyNumberFormat="1" applyFont="1" applyFill="1" applyBorder="1" applyAlignment="1">
      <alignment horizontal="right"/>
    </xf>
    <xf numFmtId="10" fontId="71" fillId="3" borderId="14" xfId="0" applyNumberFormat="1" applyFont="1" applyFill="1" applyBorder="1" applyAlignment="1"/>
    <xf numFmtId="166" fontId="71" fillId="3" borderId="14" xfId="0" applyNumberFormat="1" applyFont="1" applyFill="1" applyBorder="1" applyAlignment="1"/>
    <xf numFmtId="10" fontId="71" fillId="3" borderId="16" xfId="0" applyNumberFormat="1" applyFont="1" applyFill="1" applyBorder="1" applyAlignment="1"/>
    <xf numFmtId="9" fontId="71" fillId="3" borderId="14" xfId="0" applyNumberFormat="1" applyFont="1" applyFill="1" applyBorder="1" applyAlignment="1"/>
    <xf numFmtId="3" fontId="65" fillId="3" borderId="14" xfId="0" applyNumberFormat="1" applyFont="1" applyFill="1" applyBorder="1" applyAlignment="1"/>
    <xf numFmtId="3" fontId="65" fillId="3" borderId="14" xfId="0" applyNumberFormat="1" applyFont="1" applyFill="1" applyBorder="1" applyAlignment="1" applyProtection="1">
      <alignment horizontal="right"/>
      <protection locked="0"/>
    </xf>
    <xf numFmtId="9" fontId="71" fillId="3" borderId="0" xfId="0" applyNumberFormat="1" applyFont="1" applyFill="1" applyBorder="1" applyAlignment="1"/>
    <xf numFmtId="3" fontId="71" fillId="3" borderId="0" xfId="0" applyNumberFormat="1" applyFont="1" applyFill="1" applyBorder="1" applyAlignment="1" applyProtection="1">
      <alignment horizontal="right"/>
      <protection locked="0"/>
    </xf>
    <xf numFmtId="9" fontId="71" fillId="3" borderId="0" xfId="0" applyNumberFormat="1" applyFont="1" applyFill="1" applyAlignment="1"/>
    <xf numFmtId="3" fontId="71" fillId="3" borderId="0" xfId="0" applyNumberFormat="1" applyFont="1" applyFill="1" applyAlignment="1" applyProtection="1">
      <alignment horizontal="right"/>
      <protection locked="0"/>
    </xf>
    <xf numFmtId="0" fontId="65" fillId="3" borderId="0" xfId="0" quotePrefix="1" applyNumberFormat="1" applyFont="1" applyFill="1" applyAlignment="1">
      <alignment horizontal="center"/>
    </xf>
    <xf numFmtId="0" fontId="73" fillId="3" borderId="0" xfId="0" applyNumberFormat="1" applyFont="1" applyFill="1" applyAlignment="1"/>
    <xf numFmtId="0" fontId="55" fillId="6" borderId="3" xfId="0" applyNumberFormat="1" applyFont="1" applyFill="1" applyBorder="1" applyAlignment="1"/>
    <xf numFmtId="0" fontId="55" fillId="6" borderId="0" xfId="0" applyNumberFormat="1" applyFont="1" applyFill="1" applyAlignment="1"/>
    <xf numFmtId="0" fontId="56" fillId="6" borderId="0" xfId="0" applyNumberFormat="1" applyFont="1" applyFill="1" applyAlignment="1">
      <alignment horizontal="center" wrapText="1"/>
    </xf>
    <xf numFmtId="0" fontId="55" fillId="6" borderId="0" xfId="0" applyNumberFormat="1" applyFont="1" applyFill="1" applyAlignment="1">
      <alignment horizontal="center" wrapText="1"/>
    </xf>
    <xf numFmtId="0" fontId="56" fillId="6" borderId="0" xfId="0" applyNumberFormat="1" applyFont="1" applyFill="1" applyAlignment="1"/>
    <xf numFmtId="4" fontId="55" fillId="6" borderId="0" xfId="0" applyNumberFormat="1" applyFont="1" applyFill="1" applyAlignment="1" applyProtection="1">
      <alignment horizontal="right"/>
      <protection locked="0"/>
    </xf>
    <xf numFmtId="0" fontId="71" fillId="3" borderId="18" xfId="0" applyNumberFormat="1" applyFont="1" applyFill="1" applyBorder="1" applyAlignment="1"/>
    <xf numFmtId="0" fontId="71" fillId="3" borderId="16" xfId="0" applyNumberFormat="1" applyFont="1" applyFill="1" applyBorder="1" applyAlignment="1"/>
    <xf numFmtId="3" fontId="71" fillId="3" borderId="16" xfId="0" applyNumberFormat="1" applyFont="1" applyFill="1" applyBorder="1" applyAlignment="1"/>
    <xf numFmtId="3" fontId="71" fillId="3" borderId="16" xfId="0" applyNumberFormat="1" applyFont="1" applyFill="1" applyBorder="1" applyAlignment="1" applyProtection="1">
      <alignment horizontal="right"/>
      <protection locked="0"/>
    </xf>
    <xf numFmtId="0" fontId="71" fillId="3" borderId="19" xfId="0" applyNumberFormat="1" applyFont="1" applyFill="1" applyBorder="1" applyAlignment="1"/>
    <xf numFmtId="0" fontId="56" fillId="6" borderId="0" xfId="0" applyNumberFormat="1" applyFont="1" applyFill="1" applyBorder="1" applyAlignment="1"/>
    <xf numFmtId="0" fontId="56" fillId="6" borderId="0" xfId="0" applyNumberFormat="1" applyFont="1" applyFill="1" applyBorder="1" applyAlignment="1">
      <alignment horizontal="center"/>
    </xf>
    <xf numFmtId="0" fontId="56" fillId="6" borderId="0" xfId="0" applyNumberFormat="1" applyFont="1" applyFill="1" applyBorder="1" applyAlignment="1">
      <alignment horizontal="right"/>
    </xf>
    <xf numFmtId="15" fontId="56" fillId="6" borderId="0" xfId="0" applyNumberFormat="1" applyFont="1" applyFill="1" applyBorder="1" applyAlignment="1">
      <alignment horizontal="right"/>
    </xf>
    <xf numFmtId="0" fontId="55" fillId="6" borderId="20" xfId="0" applyNumberFormat="1" applyFont="1" applyFill="1" applyBorder="1" applyAlignment="1"/>
    <xf numFmtId="0" fontId="55" fillId="6" borderId="1" xfId="0" applyNumberFormat="1" applyFont="1" applyFill="1" applyBorder="1" applyAlignment="1"/>
    <xf numFmtId="0" fontId="56" fillId="6" borderId="2" xfId="0" applyNumberFormat="1" applyFont="1" applyFill="1" applyBorder="1" applyAlignment="1"/>
    <xf numFmtId="0" fontId="55" fillId="6" borderId="2" xfId="0" applyNumberFormat="1" applyFont="1" applyFill="1" applyBorder="1" applyAlignment="1"/>
    <xf numFmtId="4" fontId="55" fillId="6" borderId="2" xfId="0" applyNumberFormat="1" applyFont="1" applyFill="1" applyBorder="1" applyAlignment="1" applyProtection="1">
      <alignment horizontal="right"/>
      <protection locked="0"/>
    </xf>
    <xf numFmtId="15" fontId="56" fillId="6" borderId="2" xfId="0" applyNumberFormat="1" applyFont="1" applyFill="1" applyBorder="1" applyAlignment="1">
      <alignment horizontal="centerContinuous"/>
    </xf>
    <xf numFmtId="15" fontId="56" fillId="6" borderId="2" xfId="0" applyNumberFormat="1" applyFont="1" applyFill="1" applyBorder="1" applyAlignment="1">
      <alignment horizontal="center"/>
    </xf>
    <xf numFmtId="0" fontId="55" fillId="6" borderId="3" xfId="0" applyNumberFormat="1" applyFont="1" applyFill="1" applyBorder="1" applyAlignment="1">
      <alignment horizontal="right"/>
    </xf>
    <xf numFmtId="0" fontId="71" fillId="3" borderId="3" xfId="0" applyNumberFormat="1" applyFont="1" applyFill="1" applyBorder="1" applyAlignment="1">
      <alignment horizontal="right"/>
    </xf>
    <xf numFmtId="0" fontId="71" fillId="3" borderId="0" xfId="0" applyNumberFormat="1" applyFont="1" applyFill="1" applyBorder="1" applyAlignment="1">
      <alignment horizontal="center"/>
    </xf>
    <xf numFmtId="3" fontId="71" fillId="3" borderId="0" xfId="0" applyNumberFormat="1" applyFont="1" applyFill="1" applyBorder="1" applyAlignment="1" applyProtection="1">
      <alignment horizontal="center"/>
      <protection locked="0"/>
    </xf>
    <xf numFmtId="0" fontId="71" fillId="3" borderId="0" xfId="0" applyNumberFormat="1" applyFont="1" applyFill="1" applyBorder="1" applyAlignment="1" applyProtection="1">
      <protection locked="0"/>
    </xf>
    <xf numFmtId="3" fontId="65" fillId="3" borderId="0" xfId="0" applyNumberFormat="1" applyFont="1" applyFill="1" applyBorder="1" applyAlignment="1"/>
    <xf numFmtId="3" fontId="56" fillId="6" borderId="0" xfId="0" applyNumberFormat="1" applyFont="1" applyFill="1" applyBorder="1" applyAlignment="1">
      <alignment horizontal="center"/>
    </xf>
    <xf numFmtId="0" fontId="55" fillId="6" borderId="0" xfId="0" applyNumberFormat="1" applyFont="1" applyFill="1" applyBorder="1" applyAlignment="1"/>
    <xf numFmtId="166" fontId="71" fillId="3" borderId="0" xfId="0" applyNumberFormat="1" applyFont="1" applyFill="1" applyBorder="1" applyAlignment="1"/>
    <xf numFmtId="0" fontId="65" fillId="3" borderId="0" xfId="0" applyNumberFormat="1" applyFont="1" applyFill="1" applyBorder="1" applyAlignment="1"/>
    <xf numFmtId="0" fontId="56" fillId="6" borderId="20" xfId="0" applyNumberFormat="1" applyFont="1" applyFill="1" applyBorder="1" applyAlignment="1"/>
    <xf numFmtId="10" fontId="71" fillId="3" borderId="0" xfId="0" applyNumberFormat="1" applyFont="1" applyFill="1" applyBorder="1" applyAlignment="1"/>
    <xf numFmtId="9" fontId="55" fillId="6" borderId="0" xfId="0" applyNumberFormat="1" applyFont="1" applyFill="1" applyBorder="1" applyAlignment="1"/>
    <xf numFmtId="3" fontId="65" fillId="3" borderId="0" xfId="0" applyNumberFormat="1" applyFont="1" applyFill="1" applyBorder="1" applyAlignment="1" applyProtection="1">
      <alignment horizontal="right"/>
      <protection locked="0"/>
    </xf>
    <xf numFmtId="0" fontId="56" fillId="6" borderId="0" xfId="0" applyFont="1" applyFill="1"/>
    <xf numFmtId="0" fontId="71" fillId="3" borderId="0" xfId="0" applyFont="1" applyFill="1"/>
    <xf numFmtId="0" fontId="55" fillId="6" borderId="3" xfId="0" applyFont="1" applyFill="1" applyBorder="1"/>
    <xf numFmtId="0" fontId="56" fillId="6" borderId="0" xfId="0" applyFont="1" applyFill="1" applyAlignment="1">
      <alignment horizontal="center"/>
    </xf>
    <xf numFmtId="3" fontId="56" fillId="6" borderId="0" xfId="0" applyNumberFormat="1" applyFont="1" applyFill="1" applyAlignment="1">
      <alignment horizontal="center"/>
    </xf>
    <xf numFmtId="0" fontId="71" fillId="3" borderId="21" xfId="0" applyFont="1" applyFill="1" applyBorder="1"/>
    <xf numFmtId="0" fontId="71" fillId="3" borderId="17" xfId="0" applyFont="1" applyFill="1" applyBorder="1"/>
    <xf numFmtId="9" fontId="71" fillId="3" borderId="17" xfId="0" applyNumberFormat="1" applyFont="1" applyFill="1" applyBorder="1"/>
    <xf numFmtId="0" fontId="47" fillId="3" borderId="17" xfId="0" applyFont="1" applyFill="1" applyBorder="1"/>
    <xf numFmtId="3" fontId="71" fillId="3" borderId="17" xfId="0" applyNumberFormat="1" applyFont="1" applyFill="1" applyBorder="1"/>
    <xf numFmtId="10" fontId="71" fillId="3" borderId="17" xfId="0" applyNumberFormat="1" applyFont="1" applyFill="1" applyBorder="1"/>
    <xf numFmtId="3" fontId="71" fillId="3" borderId="17" xfId="0" applyNumberFormat="1" applyFont="1" applyFill="1" applyBorder="1" applyAlignment="1" applyProtection="1">
      <alignment horizontal="right"/>
      <protection locked="0"/>
    </xf>
    <xf numFmtId="0" fontId="63" fillId="0" borderId="0" xfId="0" applyFont="1"/>
    <xf numFmtId="0" fontId="47" fillId="0" borderId="0" xfId="0" applyFont="1"/>
    <xf numFmtId="10" fontId="71" fillId="3" borderId="0" xfId="2" applyNumberFormat="1" applyFont="1" applyFill="1" applyBorder="1" applyAlignment="1"/>
    <xf numFmtId="0" fontId="71" fillId="5" borderId="14" xfId="0" applyFont="1" applyFill="1" applyBorder="1"/>
    <xf numFmtId="10" fontId="65" fillId="5" borderId="14" xfId="0" applyNumberFormat="1" applyFont="1" applyFill="1" applyBorder="1"/>
    <xf numFmtId="10" fontId="71" fillId="5" borderId="14" xfId="0" applyNumberFormat="1" applyFont="1" applyFill="1" applyBorder="1"/>
    <xf numFmtId="10" fontId="65" fillId="5" borderId="14" xfId="0" applyNumberFormat="1" applyFont="1" applyFill="1" applyBorder="1" applyAlignment="1" applyProtection="1">
      <alignment horizontal="right"/>
      <protection locked="0"/>
    </xf>
    <xf numFmtId="3" fontId="71" fillId="3" borderId="22" xfId="0" applyNumberFormat="1" applyFont="1" applyFill="1" applyBorder="1" applyAlignment="1"/>
    <xf numFmtId="10" fontId="65" fillId="3" borderId="22" xfId="0" applyNumberFormat="1" applyFont="1" applyFill="1" applyBorder="1" applyAlignment="1"/>
    <xf numFmtId="3" fontId="65" fillId="3" borderId="22" xfId="0" applyNumberFormat="1" applyFont="1" applyFill="1" applyBorder="1" applyAlignment="1" applyProtection="1">
      <alignment horizontal="right"/>
      <protection locked="0"/>
    </xf>
    <xf numFmtId="0" fontId="71" fillId="3" borderId="22" xfId="0" applyNumberFormat="1" applyFont="1" applyFill="1" applyBorder="1" applyAlignment="1"/>
    <xf numFmtId="1" fontId="71" fillId="3" borderId="14" xfId="0" applyNumberFormat="1" applyFont="1" applyFill="1" applyBorder="1" applyAlignment="1"/>
  </cellXfs>
  <cellStyles count="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808080"/>
      <color rgb="FF000099"/>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5" Type="http://schemas.openxmlformats.org/officeDocument/2006/relationships/image" Target="../media/image3.png"/><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5" Type="http://schemas.openxmlformats.org/officeDocument/2006/relationships/image" Target="../media/image2.png"/><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4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1695" name="Picture 1" descr="C:\WINDOWS\TEMP\Symbol.gif">
          <a:extLst>
            <a:ext uri="{FF2B5EF4-FFF2-40B4-BE49-F238E27FC236}">
              <a16:creationId xmlns:a16="http://schemas.microsoft.com/office/drawing/2014/main" id="{00000000-0008-0000-0000-0000FF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61696" name="Picture 2" descr="C:\WINDOWS\TEMP\Symbol.gif">
          <a:extLst>
            <a:ext uri="{FF2B5EF4-FFF2-40B4-BE49-F238E27FC236}">
              <a16:creationId xmlns:a16="http://schemas.microsoft.com/office/drawing/2014/main" id="{00000000-0008-0000-0000-000000F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61697" name="Picture 3" descr="C:\WINDOWS\TEMP\Symbol.gif">
          <a:extLst>
            <a:ext uri="{FF2B5EF4-FFF2-40B4-BE49-F238E27FC236}">
              <a16:creationId xmlns:a16="http://schemas.microsoft.com/office/drawing/2014/main" id="{00000000-0008-0000-0000-000001F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1698" name="Picture 4" descr="C:\WINDOWS\TEMP\Symbol.gif">
          <a:extLst>
            <a:ext uri="{FF2B5EF4-FFF2-40B4-BE49-F238E27FC236}">
              <a16:creationId xmlns:a16="http://schemas.microsoft.com/office/drawing/2014/main" id="{00000000-0008-0000-0000-000002F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61699" name="Picture 5" descr="C:\WINDOWS\TEMP\~0003946.gif">
          <a:extLst>
            <a:ext uri="{FF2B5EF4-FFF2-40B4-BE49-F238E27FC236}">
              <a16:creationId xmlns:a16="http://schemas.microsoft.com/office/drawing/2014/main" id="{00000000-0008-0000-0000-000003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61700" name="Picture 6" descr="C:\WINDOWS\TEMP\~0003946.gif">
          <a:extLst>
            <a:ext uri="{FF2B5EF4-FFF2-40B4-BE49-F238E27FC236}">
              <a16:creationId xmlns:a16="http://schemas.microsoft.com/office/drawing/2014/main" id="{00000000-0008-0000-0000-000004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61701" name="Picture 7" descr="C:\WINDOWS\TEMP\~0003946.gif">
          <a:extLst>
            <a:ext uri="{FF2B5EF4-FFF2-40B4-BE49-F238E27FC236}">
              <a16:creationId xmlns:a16="http://schemas.microsoft.com/office/drawing/2014/main" id="{00000000-0008-0000-0000-000005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1702" name="Picture 8" descr="C:\WINDOWS\TEMP\~0003946.gif">
          <a:extLst>
            <a:ext uri="{FF2B5EF4-FFF2-40B4-BE49-F238E27FC236}">
              <a16:creationId xmlns:a16="http://schemas.microsoft.com/office/drawing/2014/main" id="{00000000-0008-0000-0000-000006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1703" name="Picture 28" descr="C:\WINDOWS\TEMP\~0003946.gif">
          <a:extLst>
            <a:ext uri="{FF2B5EF4-FFF2-40B4-BE49-F238E27FC236}">
              <a16:creationId xmlns:a16="http://schemas.microsoft.com/office/drawing/2014/main" id="{00000000-0008-0000-0000-000007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61704" name="Picture 29" descr="C:\WINDOWS\TEMP\~0003946.gif">
          <a:extLst>
            <a:ext uri="{FF2B5EF4-FFF2-40B4-BE49-F238E27FC236}">
              <a16:creationId xmlns:a16="http://schemas.microsoft.com/office/drawing/2014/main" id="{00000000-0008-0000-0000-000008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61705" name="Picture 30" descr="C:\WINDOWS\TEMP\~0003946.gif">
          <a:extLst>
            <a:ext uri="{FF2B5EF4-FFF2-40B4-BE49-F238E27FC236}">
              <a16:creationId xmlns:a16="http://schemas.microsoft.com/office/drawing/2014/main" id="{00000000-0008-0000-0000-000009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61706" name="Picture 31" descr="C:\WINDOWS\TEMP\~0003946.gif">
          <a:extLst>
            <a:ext uri="{FF2B5EF4-FFF2-40B4-BE49-F238E27FC236}">
              <a16:creationId xmlns:a16="http://schemas.microsoft.com/office/drawing/2014/main" id="{00000000-0008-0000-0000-00000A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1707" name="Picture 43" descr="logoMTL">
          <a:extLst>
            <a:ext uri="{FF2B5EF4-FFF2-40B4-BE49-F238E27FC236}">
              <a16:creationId xmlns:a16="http://schemas.microsoft.com/office/drawing/2014/main" id="{00000000-0008-0000-0000-00000BF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61708" name="Picture 44" descr="logoMTL">
          <a:extLst>
            <a:ext uri="{FF2B5EF4-FFF2-40B4-BE49-F238E27FC236}">
              <a16:creationId xmlns:a16="http://schemas.microsoft.com/office/drawing/2014/main" id="{00000000-0008-0000-0000-00000CF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61709" name="Picture 45" descr="logoMTL">
          <a:extLst>
            <a:ext uri="{FF2B5EF4-FFF2-40B4-BE49-F238E27FC236}">
              <a16:creationId xmlns:a16="http://schemas.microsoft.com/office/drawing/2014/main" id="{00000000-0008-0000-0000-00000DF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61710" name="Picture 46" descr="logoMTL">
          <a:extLst>
            <a:ext uri="{FF2B5EF4-FFF2-40B4-BE49-F238E27FC236}">
              <a16:creationId xmlns:a16="http://schemas.microsoft.com/office/drawing/2014/main" id="{00000000-0008-0000-0000-00000EF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0881" name="Picture 1" descr="C:\WINDOWS\TEMP\Symbol.gif">
          <a:extLst>
            <a:ext uri="{FF2B5EF4-FFF2-40B4-BE49-F238E27FC236}">
              <a16:creationId xmlns:a16="http://schemas.microsoft.com/office/drawing/2014/main" id="{00000000-0008-0000-0900-0000E1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0882" name="Picture 2" descr="C:\WINDOWS\TEMP\Symbol.gif">
          <a:extLst>
            <a:ext uri="{FF2B5EF4-FFF2-40B4-BE49-F238E27FC236}">
              <a16:creationId xmlns:a16="http://schemas.microsoft.com/office/drawing/2014/main" id="{00000000-0008-0000-0900-0000E2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0883" name="Picture 3" descr="C:\WINDOWS\TEMP\Symbol.gif">
          <a:extLst>
            <a:ext uri="{FF2B5EF4-FFF2-40B4-BE49-F238E27FC236}">
              <a16:creationId xmlns:a16="http://schemas.microsoft.com/office/drawing/2014/main" id="{00000000-0008-0000-0900-0000E3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0884" name="Picture 4" descr="C:\WINDOWS\TEMP\Symbol.gif">
          <a:extLst>
            <a:ext uri="{FF2B5EF4-FFF2-40B4-BE49-F238E27FC236}">
              <a16:creationId xmlns:a16="http://schemas.microsoft.com/office/drawing/2014/main" id="{00000000-0008-0000-0900-0000E4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0885" name="Picture 5" descr="C:\WINDOWS\TEMP\~0003946.gif">
          <a:extLst>
            <a:ext uri="{FF2B5EF4-FFF2-40B4-BE49-F238E27FC236}">
              <a16:creationId xmlns:a16="http://schemas.microsoft.com/office/drawing/2014/main" id="{00000000-0008-0000-0900-0000E5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0886" name="Picture 6" descr="C:\WINDOWS\TEMP\~0003946.gif">
          <a:extLst>
            <a:ext uri="{FF2B5EF4-FFF2-40B4-BE49-F238E27FC236}">
              <a16:creationId xmlns:a16="http://schemas.microsoft.com/office/drawing/2014/main" id="{00000000-0008-0000-0900-0000E6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0887" name="Picture 7" descr="C:\WINDOWS\TEMP\~0003946.gif">
          <a:extLst>
            <a:ext uri="{FF2B5EF4-FFF2-40B4-BE49-F238E27FC236}">
              <a16:creationId xmlns:a16="http://schemas.microsoft.com/office/drawing/2014/main" id="{00000000-0008-0000-0900-0000E7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0888" name="Picture 8" descr="C:\WINDOWS\TEMP\~0003946.gif">
          <a:extLst>
            <a:ext uri="{FF2B5EF4-FFF2-40B4-BE49-F238E27FC236}">
              <a16:creationId xmlns:a16="http://schemas.microsoft.com/office/drawing/2014/main" id="{00000000-0008-0000-0900-0000E8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0889" name="Picture 9" descr="C:\WINDOWS\TEMP\~0003946.gif">
          <a:extLst>
            <a:ext uri="{FF2B5EF4-FFF2-40B4-BE49-F238E27FC236}">
              <a16:creationId xmlns:a16="http://schemas.microsoft.com/office/drawing/2014/main" id="{00000000-0008-0000-0900-0000E9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0890" name="Picture 10" descr="C:\WINDOWS\TEMP\~0003946.gif">
          <a:extLst>
            <a:ext uri="{FF2B5EF4-FFF2-40B4-BE49-F238E27FC236}">
              <a16:creationId xmlns:a16="http://schemas.microsoft.com/office/drawing/2014/main" id="{00000000-0008-0000-0900-0000EA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70891" name="Picture 11" descr="C:\WINDOWS\TEMP\~0003946.gif">
          <a:extLst>
            <a:ext uri="{FF2B5EF4-FFF2-40B4-BE49-F238E27FC236}">
              <a16:creationId xmlns:a16="http://schemas.microsoft.com/office/drawing/2014/main" id="{00000000-0008-0000-0900-0000EB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70892" name="Picture 12" descr="C:\WINDOWS\TEMP\~0003946.gif">
          <a:extLst>
            <a:ext uri="{FF2B5EF4-FFF2-40B4-BE49-F238E27FC236}">
              <a16:creationId xmlns:a16="http://schemas.microsoft.com/office/drawing/2014/main" id="{00000000-0008-0000-0900-0000EC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0893" name="Picture 13" descr="logoMTL">
          <a:extLst>
            <a:ext uri="{FF2B5EF4-FFF2-40B4-BE49-F238E27FC236}">
              <a16:creationId xmlns:a16="http://schemas.microsoft.com/office/drawing/2014/main" id="{00000000-0008-0000-0900-0000ED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0894" name="Picture 14" descr="logoMTL">
          <a:extLst>
            <a:ext uri="{FF2B5EF4-FFF2-40B4-BE49-F238E27FC236}">
              <a16:creationId xmlns:a16="http://schemas.microsoft.com/office/drawing/2014/main" id="{00000000-0008-0000-0900-0000EE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0895" name="Picture 15" descr="logoMTL">
          <a:extLst>
            <a:ext uri="{FF2B5EF4-FFF2-40B4-BE49-F238E27FC236}">
              <a16:creationId xmlns:a16="http://schemas.microsoft.com/office/drawing/2014/main" id="{00000000-0008-0000-0900-0000EF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0896" name="Picture 16" descr="logoMTL">
          <a:extLst>
            <a:ext uri="{FF2B5EF4-FFF2-40B4-BE49-F238E27FC236}">
              <a16:creationId xmlns:a16="http://schemas.microsoft.com/office/drawing/2014/main" id="{00000000-0008-0000-0900-0000F0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1905" name="Picture 1" descr="C:\WINDOWS\TEMP\Symbol.gif">
          <a:extLst>
            <a:ext uri="{FF2B5EF4-FFF2-40B4-BE49-F238E27FC236}">
              <a16:creationId xmlns:a16="http://schemas.microsoft.com/office/drawing/2014/main" id="{00000000-0008-0000-0A00-0000E1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1906" name="Picture 2" descr="C:\WINDOWS\TEMP\Symbol.gif">
          <a:extLst>
            <a:ext uri="{FF2B5EF4-FFF2-40B4-BE49-F238E27FC236}">
              <a16:creationId xmlns:a16="http://schemas.microsoft.com/office/drawing/2014/main" id="{00000000-0008-0000-0A00-0000E2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1907" name="Picture 3" descr="C:\WINDOWS\TEMP\Symbol.gif">
          <a:extLst>
            <a:ext uri="{FF2B5EF4-FFF2-40B4-BE49-F238E27FC236}">
              <a16:creationId xmlns:a16="http://schemas.microsoft.com/office/drawing/2014/main" id="{00000000-0008-0000-0A00-0000E3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1908" name="Picture 4" descr="C:\WINDOWS\TEMP\Symbol.gif">
          <a:extLst>
            <a:ext uri="{FF2B5EF4-FFF2-40B4-BE49-F238E27FC236}">
              <a16:creationId xmlns:a16="http://schemas.microsoft.com/office/drawing/2014/main" id="{00000000-0008-0000-0A00-0000E4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1909" name="Picture 5" descr="C:\WINDOWS\TEMP\~0003946.gif">
          <a:extLst>
            <a:ext uri="{FF2B5EF4-FFF2-40B4-BE49-F238E27FC236}">
              <a16:creationId xmlns:a16="http://schemas.microsoft.com/office/drawing/2014/main" id="{00000000-0008-0000-0A00-0000E5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1910" name="Picture 6" descr="C:\WINDOWS\TEMP\~0003946.gif">
          <a:extLst>
            <a:ext uri="{FF2B5EF4-FFF2-40B4-BE49-F238E27FC236}">
              <a16:creationId xmlns:a16="http://schemas.microsoft.com/office/drawing/2014/main" id="{00000000-0008-0000-0A00-0000E6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1911" name="Picture 7" descr="C:\WINDOWS\TEMP\~0003946.gif">
          <a:extLst>
            <a:ext uri="{FF2B5EF4-FFF2-40B4-BE49-F238E27FC236}">
              <a16:creationId xmlns:a16="http://schemas.microsoft.com/office/drawing/2014/main" id="{00000000-0008-0000-0A00-0000E7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1912" name="Picture 8" descr="C:\WINDOWS\TEMP\~0003946.gif">
          <a:extLst>
            <a:ext uri="{FF2B5EF4-FFF2-40B4-BE49-F238E27FC236}">
              <a16:creationId xmlns:a16="http://schemas.microsoft.com/office/drawing/2014/main" id="{00000000-0008-0000-0A00-0000E8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1913" name="Picture 9" descr="C:\WINDOWS\TEMP\~0003946.gif">
          <a:extLst>
            <a:ext uri="{FF2B5EF4-FFF2-40B4-BE49-F238E27FC236}">
              <a16:creationId xmlns:a16="http://schemas.microsoft.com/office/drawing/2014/main" id="{00000000-0008-0000-0A00-0000E9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1914" name="Picture 10" descr="C:\WINDOWS\TEMP\~0003946.gif">
          <a:extLst>
            <a:ext uri="{FF2B5EF4-FFF2-40B4-BE49-F238E27FC236}">
              <a16:creationId xmlns:a16="http://schemas.microsoft.com/office/drawing/2014/main" id="{00000000-0008-0000-0A00-0000EA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71915" name="Picture 11" descr="C:\WINDOWS\TEMP\~0003946.gif">
          <a:extLst>
            <a:ext uri="{FF2B5EF4-FFF2-40B4-BE49-F238E27FC236}">
              <a16:creationId xmlns:a16="http://schemas.microsoft.com/office/drawing/2014/main" id="{00000000-0008-0000-0A00-0000EB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71916" name="Picture 12" descr="C:\WINDOWS\TEMP\~0003946.gif">
          <a:extLst>
            <a:ext uri="{FF2B5EF4-FFF2-40B4-BE49-F238E27FC236}">
              <a16:creationId xmlns:a16="http://schemas.microsoft.com/office/drawing/2014/main" id="{00000000-0008-0000-0A00-0000EC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1917" name="Picture 13" descr="logoMTL">
          <a:extLst>
            <a:ext uri="{FF2B5EF4-FFF2-40B4-BE49-F238E27FC236}">
              <a16:creationId xmlns:a16="http://schemas.microsoft.com/office/drawing/2014/main" id="{00000000-0008-0000-0A00-0000ED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1918" name="Picture 14" descr="logoMTL">
          <a:extLst>
            <a:ext uri="{FF2B5EF4-FFF2-40B4-BE49-F238E27FC236}">
              <a16:creationId xmlns:a16="http://schemas.microsoft.com/office/drawing/2014/main" id="{00000000-0008-0000-0A00-0000EE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1919" name="Picture 15" descr="logoMTL">
          <a:extLst>
            <a:ext uri="{FF2B5EF4-FFF2-40B4-BE49-F238E27FC236}">
              <a16:creationId xmlns:a16="http://schemas.microsoft.com/office/drawing/2014/main" id="{00000000-0008-0000-0A00-0000EF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1920" name="Picture 16" descr="logoMTL">
          <a:extLst>
            <a:ext uri="{FF2B5EF4-FFF2-40B4-BE49-F238E27FC236}">
              <a16:creationId xmlns:a16="http://schemas.microsoft.com/office/drawing/2014/main" id="{00000000-0008-0000-0A00-0000F0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2929" name="Picture 1" descr="C:\WINDOWS\TEMP\Symbol.gif">
          <a:extLst>
            <a:ext uri="{FF2B5EF4-FFF2-40B4-BE49-F238E27FC236}">
              <a16:creationId xmlns:a16="http://schemas.microsoft.com/office/drawing/2014/main" id="{00000000-0008-0000-0B00-0000E1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2930" name="Picture 2" descr="C:\WINDOWS\TEMP\Symbol.gif">
          <a:extLst>
            <a:ext uri="{FF2B5EF4-FFF2-40B4-BE49-F238E27FC236}">
              <a16:creationId xmlns:a16="http://schemas.microsoft.com/office/drawing/2014/main" id="{00000000-0008-0000-0B00-0000E2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2931" name="Picture 3" descr="C:\WINDOWS\TEMP\Symbol.gif">
          <a:extLst>
            <a:ext uri="{FF2B5EF4-FFF2-40B4-BE49-F238E27FC236}">
              <a16:creationId xmlns:a16="http://schemas.microsoft.com/office/drawing/2014/main" id="{00000000-0008-0000-0B00-0000E3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2932" name="Picture 4" descr="C:\WINDOWS\TEMP\Symbol.gif">
          <a:extLst>
            <a:ext uri="{FF2B5EF4-FFF2-40B4-BE49-F238E27FC236}">
              <a16:creationId xmlns:a16="http://schemas.microsoft.com/office/drawing/2014/main" id="{00000000-0008-0000-0B00-0000E4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2933" name="Picture 5" descr="C:\WINDOWS\TEMP\~0003946.gif">
          <a:extLst>
            <a:ext uri="{FF2B5EF4-FFF2-40B4-BE49-F238E27FC236}">
              <a16:creationId xmlns:a16="http://schemas.microsoft.com/office/drawing/2014/main" id="{00000000-0008-0000-0B00-0000E5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2934" name="Picture 6" descr="C:\WINDOWS\TEMP\~0003946.gif">
          <a:extLst>
            <a:ext uri="{FF2B5EF4-FFF2-40B4-BE49-F238E27FC236}">
              <a16:creationId xmlns:a16="http://schemas.microsoft.com/office/drawing/2014/main" id="{00000000-0008-0000-0B00-0000E6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2935" name="Picture 7" descr="C:\WINDOWS\TEMP\~0003946.gif">
          <a:extLst>
            <a:ext uri="{FF2B5EF4-FFF2-40B4-BE49-F238E27FC236}">
              <a16:creationId xmlns:a16="http://schemas.microsoft.com/office/drawing/2014/main" id="{00000000-0008-0000-0B00-0000E7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2936" name="Picture 8" descr="C:\WINDOWS\TEMP\~0003946.gif">
          <a:extLst>
            <a:ext uri="{FF2B5EF4-FFF2-40B4-BE49-F238E27FC236}">
              <a16:creationId xmlns:a16="http://schemas.microsoft.com/office/drawing/2014/main" id="{00000000-0008-0000-0B00-0000E8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2937" name="Picture 9" descr="C:\WINDOWS\TEMP\~0003946.gif">
          <a:extLst>
            <a:ext uri="{FF2B5EF4-FFF2-40B4-BE49-F238E27FC236}">
              <a16:creationId xmlns:a16="http://schemas.microsoft.com/office/drawing/2014/main" id="{00000000-0008-0000-0B00-0000E9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2938" name="Picture 10" descr="C:\WINDOWS\TEMP\~0003946.gif">
          <a:extLst>
            <a:ext uri="{FF2B5EF4-FFF2-40B4-BE49-F238E27FC236}">
              <a16:creationId xmlns:a16="http://schemas.microsoft.com/office/drawing/2014/main" id="{00000000-0008-0000-0B00-0000EA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72939" name="Picture 11" descr="C:\WINDOWS\TEMP\~0003946.gif">
          <a:extLst>
            <a:ext uri="{FF2B5EF4-FFF2-40B4-BE49-F238E27FC236}">
              <a16:creationId xmlns:a16="http://schemas.microsoft.com/office/drawing/2014/main" id="{00000000-0008-0000-0B00-0000EB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72940" name="Picture 12" descr="C:\WINDOWS\TEMP\~0003946.gif">
          <a:extLst>
            <a:ext uri="{FF2B5EF4-FFF2-40B4-BE49-F238E27FC236}">
              <a16:creationId xmlns:a16="http://schemas.microsoft.com/office/drawing/2014/main" id="{00000000-0008-0000-0B00-0000EC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2941" name="Picture 13" descr="logoMTL">
          <a:extLst>
            <a:ext uri="{FF2B5EF4-FFF2-40B4-BE49-F238E27FC236}">
              <a16:creationId xmlns:a16="http://schemas.microsoft.com/office/drawing/2014/main" id="{00000000-0008-0000-0B00-0000ED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2942" name="Picture 14" descr="logoMTL">
          <a:extLst>
            <a:ext uri="{FF2B5EF4-FFF2-40B4-BE49-F238E27FC236}">
              <a16:creationId xmlns:a16="http://schemas.microsoft.com/office/drawing/2014/main" id="{00000000-0008-0000-0B00-0000EE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2943" name="Picture 15" descr="logoMTL">
          <a:extLst>
            <a:ext uri="{FF2B5EF4-FFF2-40B4-BE49-F238E27FC236}">
              <a16:creationId xmlns:a16="http://schemas.microsoft.com/office/drawing/2014/main" id="{00000000-0008-0000-0B00-0000EF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2944" name="Picture 16" descr="logoMTL">
          <a:extLst>
            <a:ext uri="{FF2B5EF4-FFF2-40B4-BE49-F238E27FC236}">
              <a16:creationId xmlns:a16="http://schemas.microsoft.com/office/drawing/2014/main" id="{00000000-0008-0000-0B00-0000F0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73953" name="Picture 1" descr="C:\WINDOWS\TEMP\Symbol.gif">
          <a:extLst>
            <a:ext uri="{FF2B5EF4-FFF2-40B4-BE49-F238E27FC236}">
              <a16:creationId xmlns:a16="http://schemas.microsoft.com/office/drawing/2014/main" id="{00000000-0008-0000-0C00-0000E12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3954" name="Picture 2" descr="C:\WINDOWS\TEMP\Symbol.gif">
          <a:extLst>
            <a:ext uri="{FF2B5EF4-FFF2-40B4-BE49-F238E27FC236}">
              <a16:creationId xmlns:a16="http://schemas.microsoft.com/office/drawing/2014/main" id="{00000000-0008-0000-0C00-0000E22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3955" name="Picture 3" descr="C:\WINDOWS\TEMP\Symbol.gif">
          <a:extLst>
            <a:ext uri="{FF2B5EF4-FFF2-40B4-BE49-F238E27FC236}">
              <a16:creationId xmlns:a16="http://schemas.microsoft.com/office/drawing/2014/main" id="{00000000-0008-0000-0C00-0000E32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3956" name="Picture 4" descr="C:\WINDOWS\TEMP\Symbol.gif">
          <a:extLst>
            <a:ext uri="{FF2B5EF4-FFF2-40B4-BE49-F238E27FC236}">
              <a16:creationId xmlns:a16="http://schemas.microsoft.com/office/drawing/2014/main" id="{00000000-0008-0000-0C00-0000E42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3957" name="Picture 5" descr="C:\WINDOWS\TEMP\~0003946.gif">
          <a:extLst>
            <a:ext uri="{FF2B5EF4-FFF2-40B4-BE49-F238E27FC236}">
              <a16:creationId xmlns:a16="http://schemas.microsoft.com/office/drawing/2014/main" id="{00000000-0008-0000-0C00-0000E5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3958" name="Picture 6" descr="C:\WINDOWS\TEMP\~0003946.gif">
          <a:extLst>
            <a:ext uri="{FF2B5EF4-FFF2-40B4-BE49-F238E27FC236}">
              <a16:creationId xmlns:a16="http://schemas.microsoft.com/office/drawing/2014/main" id="{00000000-0008-0000-0C00-0000E6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3959" name="Picture 7" descr="C:\WINDOWS\TEMP\~0003946.gif">
          <a:extLst>
            <a:ext uri="{FF2B5EF4-FFF2-40B4-BE49-F238E27FC236}">
              <a16:creationId xmlns:a16="http://schemas.microsoft.com/office/drawing/2014/main" id="{00000000-0008-0000-0C00-0000E7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3960" name="Picture 8" descr="C:\WINDOWS\TEMP\~0003946.gif">
          <a:extLst>
            <a:ext uri="{FF2B5EF4-FFF2-40B4-BE49-F238E27FC236}">
              <a16:creationId xmlns:a16="http://schemas.microsoft.com/office/drawing/2014/main" id="{00000000-0008-0000-0C00-0000E8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3961" name="Picture 9" descr="C:\WINDOWS\TEMP\~0003946.gif">
          <a:extLst>
            <a:ext uri="{FF2B5EF4-FFF2-40B4-BE49-F238E27FC236}">
              <a16:creationId xmlns:a16="http://schemas.microsoft.com/office/drawing/2014/main" id="{00000000-0008-0000-0C00-0000E9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3962" name="Picture 10" descr="C:\WINDOWS\TEMP\~0003946.gif">
          <a:extLst>
            <a:ext uri="{FF2B5EF4-FFF2-40B4-BE49-F238E27FC236}">
              <a16:creationId xmlns:a16="http://schemas.microsoft.com/office/drawing/2014/main" id="{00000000-0008-0000-0C00-0000EA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73963" name="Picture 11" descr="C:\WINDOWS\TEMP\~0003946.gif">
          <a:extLst>
            <a:ext uri="{FF2B5EF4-FFF2-40B4-BE49-F238E27FC236}">
              <a16:creationId xmlns:a16="http://schemas.microsoft.com/office/drawing/2014/main" id="{00000000-0008-0000-0C00-0000EB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73964" name="Picture 12" descr="C:\WINDOWS\TEMP\~0003946.gif">
          <a:extLst>
            <a:ext uri="{FF2B5EF4-FFF2-40B4-BE49-F238E27FC236}">
              <a16:creationId xmlns:a16="http://schemas.microsoft.com/office/drawing/2014/main" id="{00000000-0008-0000-0C00-0000EC2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3965" name="Picture 13" descr="logoMTL">
          <a:extLst>
            <a:ext uri="{FF2B5EF4-FFF2-40B4-BE49-F238E27FC236}">
              <a16:creationId xmlns:a16="http://schemas.microsoft.com/office/drawing/2014/main" id="{00000000-0008-0000-0C00-0000ED2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3966" name="Picture 14" descr="logoMTL">
          <a:extLst>
            <a:ext uri="{FF2B5EF4-FFF2-40B4-BE49-F238E27FC236}">
              <a16:creationId xmlns:a16="http://schemas.microsoft.com/office/drawing/2014/main" id="{00000000-0008-0000-0C00-0000EE2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3967" name="Picture 15" descr="logoMTL">
          <a:extLst>
            <a:ext uri="{FF2B5EF4-FFF2-40B4-BE49-F238E27FC236}">
              <a16:creationId xmlns:a16="http://schemas.microsoft.com/office/drawing/2014/main" id="{00000000-0008-0000-0C00-0000EF2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3968" name="Picture 16" descr="logoMTL">
          <a:extLst>
            <a:ext uri="{FF2B5EF4-FFF2-40B4-BE49-F238E27FC236}">
              <a16:creationId xmlns:a16="http://schemas.microsoft.com/office/drawing/2014/main" id="{00000000-0008-0000-0C00-0000F02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74977" name="Picture 1" descr="C:\WINDOWS\TEMP\Symbol.gif">
          <a:extLst>
            <a:ext uri="{FF2B5EF4-FFF2-40B4-BE49-F238E27FC236}">
              <a16:creationId xmlns:a16="http://schemas.microsoft.com/office/drawing/2014/main" id="{00000000-0008-0000-0D00-0000E1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4978" name="Picture 2" descr="C:\WINDOWS\TEMP\Symbol.gif">
          <a:extLst>
            <a:ext uri="{FF2B5EF4-FFF2-40B4-BE49-F238E27FC236}">
              <a16:creationId xmlns:a16="http://schemas.microsoft.com/office/drawing/2014/main" id="{00000000-0008-0000-0D00-0000E2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4979" name="Picture 3" descr="C:\WINDOWS\TEMP\Symbol.gif">
          <a:extLst>
            <a:ext uri="{FF2B5EF4-FFF2-40B4-BE49-F238E27FC236}">
              <a16:creationId xmlns:a16="http://schemas.microsoft.com/office/drawing/2014/main" id="{00000000-0008-0000-0D00-0000E3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4980" name="Picture 4" descr="C:\WINDOWS\TEMP\Symbol.gif">
          <a:extLst>
            <a:ext uri="{FF2B5EF4-FFF2-40B4-BE49-F238E27FC236}">
              <a16:creationId xmlns:a16="http://schemas.microsoft.com/office/drawing/2014/main" id="{00000000-0008-0000-0D00-0000E4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4981" name="Picture 5" descr="C:\WINDOWS\TEMP\~0003946.gif">
          <a:extLst>
            <a:ext uri="{FF2B5EF4-FFF2-40B4-BE49-F238E27FC236}">
              <a16:creationId xmlns:a16="http://schemas.microsoft.com/office/drawing/2014/main" id="{00000000-0008-0000-0D00-0000E5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4982" name="Picture 6" descr="C:\WINDOWS\TEMP\~0003946.gif">
          <a:extLst>
            <a:ext uri="{FF2B5EF4-FFF2-40B4-BE49-F238E27FC236}">
              <a16:creationId xmlns:a16="http://schemas.microsoft.com/office/drawing/2014/main" id="{00000000-0008-0000-0D00-0000E6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4983" name="Picture 7" descr="C:\WINDOWS\TEMP\~0003946.gif">
          <a:extLst>
            <a:ext uri="{FF2B5EF4-FFF2-40B4-BE49-F238E27FC236}">
              <a16:creationId xmlns:a16="http://schemas.microsoft.com/office/drawing/2014/main" id="{00000000-0008-0000-0D00-0000E7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4984" name="Picture 8" descr="C:\WINDOWS\TEMP\~0003946.gif">
          <a:extLst>
            <a:ext uri="{FF2B5EF4-FFF2-40B4-BE49-F238E27FC236}">
              <a16:creationId xmlns:a16="http://schemas.microsoft.com/office/drawing/2014/main" id="{00000000-0008-0000-0D00-0000E8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4985" name="Picture 9" descr="C:\WINDOWS\TEMP\~0003946.gif">
          <a:extLst>
            <a:ext uri="{FF2B5EF4-FFF2-40B4-BE49-F238E27FC236}">
              <a16:creationId xmlns:a16="http://schemas.microsoft.com/office/drawing/2014/main" id="{00000000-0008-0000-0D00-0000E9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4986" name="Picture 10" descr="C:\WINDOWS\TEMP\~0003946.gif">
          <a:extLst>
            <a:ext uri="{FF2B5EF4-FFF2-40B4-BE49-F238E27FC236}">
              <a16:creationId xmlns:a16="http://schemas.microsoft.com/office/drawing/2014/main" id="{00000000-0008-0000-0D00-0000EA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74987" name="Picture 11" descr="C:\WINDOWS\TEMP\~0003946.gif">
          <a:extLst>
            <a:ext uri="{FF2B5EF4-FFF2-40B4-BE49-F238E27FC236}">
              <a16:creationId xmlns:a16="http://schemas.microsoft.com/office/drawing/2014/main" id="{00000000-0008-0000-0D00-0000EB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74988" name="Picture 12" descr="C:\WINDOWS\TEMP\~0003946.gif">
          <a:extLst>
            <a:ext uri="{FF2B5EF4-FFF2-40B4-BE49-F238E27FC236}">
              <a16:creationId xmlns:a16="http://schemas.microsoft.com/office/drawing/2014/main" id="{00000000-0008-0000-0D00-0000EC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4989" name="Picture 13" descr="logoMTL">
          <a:extLst>
            <a:ext uri="{FF2B5EF4-FFF2-40B4-BE49-F238E27FC236}">
              <a16:creationId xmlns:a16="http://schemas.microsoft.com/office/drawing/2014/main" id="{00000000-0008-0000-0D00-0000ED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4990" name="Picture 14" descr="logoMTL">
          <a:extLst>
            <a:ext uri="{FF2B5EF4-FFF2-40B4-BE49-F238E27FC236}">
              <a16:creationId xmlns:a16="http://schemas.microsoft.com/office/drawing/2014/main" id="{00000000-0008-0000-0D00-0000EE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4991" name="Picture 15" descr="logoMTL">
          <a:extLst>
            <a:ext uri="{FF2B5EF4-FFF2-40B4-BE49-F238E27FC236}">
              <a16:creationId xmlns:a16="http://schemas.microsoft.com/office/drawing/2014/main" id="{00000000-0008-0000-0D00-0000EF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4992" name="Picture 16" descr="logoMTL">
          <a:extLst>
            <a:ext uri="{FF2B5EF4-FFF2-40B4-BE49-F238E27FC236}">
              <a16:creationId xmlns:a16="http://schemas.microsoft.com/office/drawing/2014/main" id="{00000000-0008-0000-0D00-0000F0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76001" name="Picture 1" descr="C:\WINDOWS\TEMP\Symbol.gif">
          <a:extLst>
            <a:ext uri="{FF2B5EF4-FFF2-40B4-BE49-F238E27FC236}">
              <a16:creationId xmlns:a16="http://schemas.microsoft.com/office/drawing/2014/main" id="{00000000-0008-0000-0E00-0000E12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6002" name="Picture 2" descr="C:\WINDOWS\TEMP\Symbol.gif">
          <a:extLst>
            <a:ext uri="{FF2B5EF4-FFF2-40B4-BE49-F238E27FC236}">
              <a16:creationId xmlns:a16="http://schemas.microsoft.com/office/drawing/2014/main" id="{00000000-0008-0000-0E00-0000E22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6003" name="Picture 3" descr="C:\WINDOWS\TEMP\Symbol.gif">
          <a:extLst>
            <a:ext uri="{FF2B5EF4-FFF2-40B4-BE49-F238E27FC236}">
              <a16:creationId xmlns:a16="http://schemas.microsoft.com/office/drawing/2014/main" id="{00000000-0008-0000-0E00-0000E32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6004" name="Picture 4" descr="C:\WINDOWS\TEMP\Symbol.gif">
          <a:extLst>
            <a:ext uri="{FF2B5EF4-FFF2-40B4-BE49-F238E27FC236}">
              <a16:creationId xmlns:a16="http://schemas.microsoft.com/office/drawing/2014/main" id="{00000000-0008-0000-0E00-0000E42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6005" name="Picture 5" descr="C:\WINDOWS\TEMP\~0003946.gif">
          <a:extLst>
            <a:ext uri="{FF2B5EF4-FFF2-40B4-BE49-F238E27FC236}">
              <a16:creationId xmlns:a16="http://schemas.microsoft.com/office/drawing/2014/main" id="{00000000-0008-0000-0E00-0000E5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6006" name="Picture 6" descr="C:\WINDOWS\TEMP\~0003946.gif">
          <a:extLst>
            <a:ext uri="{FF2B5EF4-FFF2-40B4-BE49-F238E27FC236}">
              <a16:creationId xmlns:a16="http://schemas.microsoft.com/office/drawing/2014/main" id="{00000000-0008-0000-0E00-0000E6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6007" name="Picture 7" descr="C:\WINDOWS\TEMP\~0003946.gif">
          <a:extLst>
            <a:ext uri="{FF2B5EF4-FFF2-40B4-BE49-F238E27FC236}">
              <a16:creationId xmlns:a16="http://schemas.microsoft.com/office/drawing/2014/main" id="{00000000-0008-0000-0E00-0000E7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6008" name="Picture 8" descr="C:\WINDOWS\TEMP\~0003946.gif">
          <a:extLst>
            <a:ext uri="{FF2B5EF4-FFF2-40B4-BE49-F238E27FC236}">
              <a16:creationId xmlns:a16="http://schemas.microsoft.com/office/drawing/2014/main" id="{00000000-0008-0000-0E00-0000E8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6009" name="Picture 9" descr="C:\WINDOWS\TEMP\~0003946.gif">
          <a:extLst>
            <a:ext uri="{FF2B5EF4-FFF2-40B4-BE49-F238E27FC236}">
              <a16:creationId xmlns:a16="http://schemas.microsoft.com/office/drawing/2014/main" id="{00000000-0008-0000-0E00-0000E9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6010" name="Picture 10" descr="C:\WINDOWS\TEMP\~0003946.gif">
          <a:extLst>
            <a:ext uri="{FF2B5EF4-FFF2-40B4-BE49-F238E27FC236}">
              <a16:creationId xmlns:a16="http://schemas.microsoft.com/office/drawing/2014/main" id="{00000000-0008-0000-0E00-0000EA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76011" name="Picture 11" descr="C:\WINDOWS\TEMP\~0003946.gif">
          <a:extLst>
            <a:ext uri="{FF2B5EF4-FFF2-40B4-BE49-F238E27FC236}">
              <a16:creationId xmlns:a16="http://schemas.microsoft.com/office/drawing/2014/main" id="{00000000-0008-0000-0E00-0000EB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76012" name="Picture 12" descr="C:\WINDOWS\TEMP\~0003946.gif">
          <a:extLst>
            <a:ext uri="{FF2B5EF4-FFF2-40B4-BE49-F238E27FC236}">
              <a16:creationId xmlns:a16="http://schemas.microsoft.com/office/drawing/2014/main" id="{00000000-0008-0000-0E00-0000EC2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6013" name="Picture 13" descr="logoMTL">
          <a:extLst>
            <a:ext uri="{FF2B5EF4-FFF2-40B4-BE49-F238E27FC236}">
              <a16:creationId xmlns:a16="http://schemas.microsoft.com/office/drawing/2014/main" id="{00000000-0008-0000-0E00-0000ED2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6014" name="Picture 14" descr="logoMTL">
          <a:extLst>
            <a:ext uri="{FF2B5EF4-FFF2-40B4-BE49-F238E27FC236}">
              <a16:creationId xmlns:a16="http://schemas.microsoft.com/office/drawing/2014/main" id="{00000000-0008-0000-0E00-0000EE2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6015" name="Picture 15" descr="logoMTL">
          <a:extLst>
            <a:ext uri="{FF2B5EF4-FFF2-40B4-BE49-F238E27FC236}">
              <a16:creationId xmlns:a16="http://schemas.microsoft.com/office/drawing/2014/main" id="{00000000-0008-0000-0E00-0000EF2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6016" name="Picture 16" descr="logoMTL">
          <a:extLst>
            <a:ext uri="{FF2B5EF4-FFF2-40B4-BE49-F238E27FC236}">
              <a16:creationId xmlns:a16="http://schemas.microsoft.com/office/drawing/2014/main" id="{00000000-0008-0000-0E00-0000F02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77025" name="Picture 1" descr="C:\WINDOWS\TEMP\Symbol.gif">
          <a:extLst>
            <a:ext uri="{FF2B5EF4-FFF2-40B4-BE49-F238E27FC236}">
              <a16:creationId xmlns:a16="http://schemas.microsoft.com/office/drawing/2014/main" id="{00000000-0008-0000-0F00-0000E12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7026" name="Picture 2" descr="C:\WINDOWS\TEMP\Symbol.gif">
          <a:extLst>
            <a:ext uri="{FF2B5EF4-FFF2-40B4-BE49-F238E27FC236}">
              <a16:creationId xmlns:a16="http://schemas.microsoft.com/office/drawing/2014/main" id="{00000000-0008-0000-0F00-0000E22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77027" name="Picture 3" descr="C:\WINDOWS\TEMP\Symbol.gif">
          <a:extLst>
            <a:ext uri="{FF2B5EF4-FFF2-40B4-BE49-F238E27FC236}">
              <a16:creationId xmlns:a16="http://schemas.microsoft.com/office/drawing/2014/main" id="{00000000-0008-0000-0F00-0000E32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279</xdr:row>
      <xdr:rowOff>161925</xdr:rowOff>
    </xdr:from>
    <xdr:to>
      <xdr:col>1</xdr:col>
      <xdr:colOff>19050</xdr:colOff>
      <xdr:row>280</xdr:row>
      <xdr:rowOff>200025</xdr:rowOff>
    </xdr:to>
    <xdr:pic>
      <xdr:nvPicPr>
        <xdr:cNvPr id="77028" name="Picture 4" descr="C:\WINDOWS\TEMP\Symbol.gif">
          <a:extLst>
            <a:ext uri="{FF2B5EF4-FFF2-40B4-BE49-F238E27FC236}">
              <a16:creationId xmlns:a16="http://schemas.microsoft.com/office/drawing/2014/main" id="{00000000-0008-0000-0F00-0000E42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68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279</xdr:row>
      <xdr:rowOff>123825</xdr:rowOff>
    </xdr:from>
    <xdr:to>
      <xdr:col>20</xdr:col>
      <xdr:colOff>1895475</xdr:colOff>
      <xdr:row>280</xdr:row>
      <xdr:rowOff>152400</xdr:rowOff>
    </xdr:to>
    <xdr:pic>
      <xdr:nvPicPr>
        <xdr:cNvPr id="77029" name="Picture 5" descr="C:\WINDOWS\TEMP\~0003946.gif">
          <a:extLst>
            <a:ext uri="{FF2B5EF4-FFF2-40B4-BE49-F238E27FC236}">
              <a16:creationId xmlns:a16="http://schemas.microsoft.com/office/drawing/2014/main" id="{00000000-0008-0000-0F00-0000E5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64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7030" name="Picture 6" descr="C:\WINDOWS\TEMP\~0003946.gif">
          <a:extLst>
            <a:ext uri="{FF2B5EF4-FFF2-40B4-BE49-F238E27FC236}">
              <a16:creationId xmlns:a16="http://schemas.microsoft.com/office/drawing/2014/main" id="{00000000-0008-0000-0F00-0000E6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7031" name="Picture 7" descr="C:\WINDOWS\TEMP\~0003946.gif">
          <a:extLst>
            <a:ext uri="{FF2B5EF4-FFF2-40B4-BE49-F238E27FC236}">
              <a16:creationId xmlns:a16="http://schemas.microsoft.com/office/drawing/2014/main" id="{00000000-0008-0000-0F00-0000E7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7032" name="Picture 8" descr="C:\WINDOWS\TEMP\~0003946.gif">
          <a:extLst>
            <a:ext uri="{FF2B5EF4-FFF2-40B4-BE49-F238E27FC236}">
              <a16:creationId xmlns:a16="http://schemas.microsoft.com/office/drawing/2014/main" id="{00000000-0008-0000-0F00-0000E8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7033" name="Picture 9" descr="C:\WINDOWS\TEMP\~0003946.gif">
          <a:extLst>
            <a:ext uri="{FF2B5EF4-FFF2-40B4-BE49-F238E27FC236}">
              <a16:creationId xmlns:a16="http://schemas.microsoft.com/office/drawing/2014/main" id="{00000000-0008-0000-0F00-0000E9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7034" name="Picture 10" descr="C:\WINDOWS\TEMP\~0003946.gif">
          <a:extLst>
            <a:ext uri="{FF2B5EF4-FFF2-40B4-BE49-F238E27FC236}">
              <a16:creationId xmlns:a16="http://schemas.microsoft.com/office/drawing/2014/main" id="{00000000-0008-0000-0F00-0000EA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77035" name="Picture 11" descr="C:\WINDOWS\TEMP\~0003946.gif">
          <a:extLst>
            <a:ext uri="{FF2B5EF4-FFF2-40B4-BE49-F238E27FC236}">
              <a16:creationId xmlns:a16="http://schemas.microsoft.com/office/drawing/2014/main" id="{00000000-0008-0000-0F00-0000EB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279</xdr:row>
      <xdr:rowOff>104775</xdr:rowOff>
    </xdr:from>
    <xdr:to>
      <xdr:col>20</xdr:col>
      <xdr:colOff>895350</xdr:colOff>
      <xdr:row>280</xdr:row>
      <xdr:rowOff>133350</xdr:rowOff>
    </xdr:to>
    <xdr:pic>
      <xdr:nvPicPr>
        <xdr:cNvPr id="77036" name="Picture 12" descr="C:\WINDOWS\TEMP\~0003946.gif">
          <a:extLst>
            <a:ext uri="{FF2B5EF4-FFF2-40B4-BE49-F238E27FC236}">
              <a16:creationId xmlns:a16="http://schemas.microsoft.com/office/drawing/2014/main" id="{00000000-0008-0000-0F00-0000EC2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62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7037" name="Picture 13" descr="logoMTL">
          <a:extLst>
            <a:ext uri="{FF2B5EF4-FFF2-40B4-BE49-F238E27FC236}">
              <a16:creationId xmlns:a16="http://schemas.microsoft.com/office/drawing/2014/main" id="{00000000-0008-0000-0F00-0000ED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7038" name="Picture 14" descr="logoMTL">
          <a:extLst>
            <a:ext uri="{FF2B5EF4-FFF2-40B4-BE49-F238E27FC236}">
              <a16:creationId xmlns:a16="http://schemas.microsoft.com/office/drawing/2014/main" id="{00000000-0008-0000-0F00-0000EE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77039" name="Picture 15" descr="logoMTL">
          <a:extLst>
            <a:ext uri="{FF2B5EF4-FFF2-40B4-BE49-F238E27FC236}">
              <a16:creationId xmlns:a16="http://schemas.microsoft.com/office/drawing/2014/main" id="{00000000-0008-0000-0F00-0000EF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279</xdr:row>
      <xdr:rowOff>0</xdr:rowOff>
    </xdr:from>
    <xdr:to>
      <xdr:col>19</xdr:col>
      <xdr:colOff>1228725</xdr:colOff>
      <xdr:row>280</xdr:row>
      <xdr:rowOff>123825</xdr:rowOff>
    </xdr:to>
    <xdr:pic>
      <xdr:nvPicPr>
        <xdr:cNvPr id="77040" name="Picture 16" descr="logoMTL">
          <a:extLst>
            <a:ext uri="{FF2B5EF4-FFF2-40B4-BE49-F238E27FC236}">
              <a16:creationId xmlns:a16="http://schemas.microsoft.com/office/drawing/2014/main" id="{00000000-0008-0000-0F00-0000F0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52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78049" name="Picture 1" descr="C:\WINDOWS\TEMP\Symbol.gif">
          <a:extLst>
            <a:ext uri="{FF2B5EF4-FFF2-40B4-BE49-F238E27FC236}">
              <a16:creationId xmlns:a16="http://schemas.microsoft.com/office/drawing/2014/main" id="{00000000-0008-0000-1000-0000E13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8050" name="Picture 2" descr="C:\WINDOWS\TEMP\Symbol.gif">
          <a:extLst>
            <a:ext uri="{FF2B5EF4-FFF2-40B4-BE49-F238E27FC236}">
              <a16:creationId xmlns:a16="http://schemas.microsoft.com/office/drawing/2014/main" id="{00000000-0008-0000-1000-0000E23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78051" name="Picture 3" descr="C:\WINDOWS\TEMP\Symbol.gif">
          <a:extLst>
            <a:ext uri="{FF2B5EF4-FFF2-40B4-BE49-F238E27FC236}">
              <a16:creationId xmlns:a16="http://schemas.microsoft.com/office/drawing/2014/main" id="{00000000-0008-0000-1000-0000E33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279</xdr:row>
      <xdr:rowOff>161925</xdr:rowOff>
    </xdr:from>
    <xdr:to>
      <xdr:col>1</xdr:col>
      <xdr:colOff>19050</xdr:colOff>
      <xdr:row>280</xdr:row>
      <xdr:rowOff>200025</xdr:rowOff>
    </xdr:to>
    <xdr:pic>
      <xdr:nvPicPr>
        <xdr:cNvPr id="78052" name="Picture 4" descr="C:\WINDOWS\TEMP\Symbol.gif">
          <a:extLst>
            <a:ext uri="{FF2B5EF4-FFF2-40B4-BE49-F238E27FC236}">
              <a16:creationId xmlns:a16="http://schemas.microsoft.com/office/drawing/2014/main" id="{00000000-0008-0000-1000-0000E43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68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279</xdr:row>
      <xdr:rowOff>123825</xdr:rowOff>
    </xdr:from>
    <xdr:to>
      <xdr:col>20</xdr:col>
      <xdr:colOff>1895475</xdr:colOff>
      <xdr:row>280</xdr:row>
      <xdr:rowOff>152400</xdr:rowOff>
    </xdr:to>
    <xdr:pic>
      <xdr:nvPicPr>
        <xdr:cNvPr id="78053" name="Picture 5" descr="C:\WINDOWS\TEMP\~0003946.gif">
          <a:extLst>
            <a:ext uri="{FF2B5EF4-FFF2-40B4-BE49-F238E27FC236}">
              <a16:creationId xmlns:a16="http://schemas.microsoft.com/office/drawing/2014/main" id="{00000000-0008-0000-1000-0000E5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64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8054" name="Picture 6" descr="C:\WINDOWS\TEMP\~0003946.gif">
          <a:extLst>
            <a:ext uri="{FF2B5EF4-FFF2-40B4-BE49-F238E27FC236}">
              <a16:creationId xmlns:a16="http://schemas.microsoft.com/office/drawing/2014/main" id="{00000000-0008-0000-1000-0000E6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78055" name="Picture 7" descr="C:\WINDOWS\TEMP\~0003946.gif">
          <a:extLst>
            <a:ext uri="{FF2B5EF4-FFF2-40B4-BE49-F238E27FC236}">
              <a16:creationId xmlns:a16="http://schemas.microsoft.com/office/drawing/2014/main" id="{00000000-0008-0000-1000-0000E7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8056" name="Picture 8" descr="C:\WINDOWS\TEMP\~0003946.gif">
          <a:extLst>
            <a:ext uri="{FF2B5EF4-FFF2-40B4-BE49-F238E27FC236}">
              <a16:creationId xmlns:a16="http://schemas.microsoft.com/office/drawing/2014/main" id="{00000000-0008-0000-1000-0000E8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8057" name="Picture 9" descr="C:\WINDOWS\TEMP\~0003946.gif">
          <a:extLst>
            <a:ext uri="{FF2B5EF4-FFF2-40B4-BE49-F238E27FC236}">
              <a16:creationId xmlns:a16="http://schemas.microsoft.com/office/drawing/2014/main" id="{00000000-0008-0000-1000-0000E9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78058" name="Picture 10" descr="C:\WINDOWS\TEMP\~0003946.gif">
          <a:extLst>
            <a:ext uri="{FF2B5EF4-FFF2-40B4-BE49-F238E27FC236}">
              <a16:creationId xmlns:a16="http://schemas.microsoft.com/office/drawing/2014/main" id="{00000000-0008-0000-1000-0000EA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78059" name="Picture 11" descr="C:\WINDOWS\TEMP\~0003946.gif">
          <a:extLst>
            <a:ext uri="{FF2B5EF4-FFF2-40B4-BE49-F238E27FC236}">
              <a16:creationId xmlns:a16="http://schemas.microsoft.com/office/drawing/2014/main" id="{00000000-0008-0000-1000-0000EB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279</xdr:row>
      <xdr:rowOff>104775</xdr:rowOff>
    </xdr:from>
    <xdr:to>
      <xdr:col>20</xdr:col>
      <xdr:colOff>895350</xdr:colOff>
      <xdr:row>280</xdr:row>
      <xdr:rowOff>133350</xdr:rowOff>
    </xdr:to>
    <xdr:pic>
      <xdr:nvPicPr>
        <xdr:cNvPr id="78060" name="Picture 12" descr="C:\WINDOWS\TEMP\~0003946.gif">
          <a:extLst>
            <a:ext uri="{FF2B5EF4-FFF2-40B4-BE49-F238E27FC236}">
              <a16:creationId xmlns:a16="http://schemas.microsoft.com/office/drawing/2014/main" id="{00000000-0008-0000-1000-0000EC3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62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8061" name="Picture 13" descr="logoMTL">
          <a:extLst>
            <a:ext uri="{FF2B5EF4-FFF2-40B4-BE49-F238E27FC236}">
              <a16:creationId xmlns:a16="http://schemas.microsoft.com/office/drawing/2014/main" id="{00000000-0008-0000-1000-0000ED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78062" name="Picture 14" descr="logoMTL">
          <a:extLst>
            <a:ext uri="{FF2B5EF4-FFF2-40B4-BE49-F238E27FC236}">
              <a16:creationId xmlns:a16="http://schemas.microsoft.com/office/drawing/2014/main" id="{00000000-0008-0000-1000-0000EE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78063" name="Picture 15" descr="logoMTL">
          <a:extLst>
            <a:ext uri="{FF2B5EF4-FFF2-40B4-BE49-F238E27FC236}">
              <a16:creationId xmlns:a16="http://schemas.microsoft.com/office/drawing/2014/main" id="{00000000-0008-0000-1000-0000EF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279</xdr:row>
      <xdr:rowOff>0</xdr:rowOff>
    </xdr:from>
    <xdr:to>
      <xdr:col>19</xdr:col>
      <xdr:colOff>1228725</xdr:colOff>
      <xdr:row>280</xdr:row>
      <xdr:rowOff>123825</xdr:rowOff>
    </xdr:to>
    <xdr:pic>
      <xdr:nvPicPr>
        <xdr:cNvPr id="78064" name="Picture 16" descr="logoMTL">
          <a:extLst>
            <a:ext uri="{FF2B5EF4-FFF2-40B4-BE49-F238E27FC236}">
              <a16:creationId xmlns:a16="http://schemas.microsoft.com/office/drawing/2014/main" id="{00000000-0008-0000-1000-0000F0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52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79073" name="Picture 1" descr="C:\WINDOWS\TEMP\Symbol.gif">
          <a:extLst>
            <a:ext uri="{FF2B5EF4-FFF2-40B4-BE49-F238E27FC236}">
              <a16:creationId xmlns:a16="http://schemas.microsoft.com/office/drawing/2014/main" id="{00000000-0008-0000-1100-0000E1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9074" name="Picture 2" descr="C:\WINDOWS\TEMP\Symbol.gif">
          <a:extLst>
            <a:ext uri="{FF2B5EF4-FFF2-40B4-BE49-F238E27FC236}">
              <a16:creationId xmlns:a16="http://schemas.microsoft.com/office/drawing/2014/main" id="{00000000-0008-0000-1100-0000E2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9075" name="Picture 3" descr="C:\WINDOWS\TEMP\Symbol.gif">
          <a:extLst>
            <a:ext uri="{FF2B5EF4-FFF2-40B4-BE49-F238E27FC236}">
              <a16:creationId xmlns:a16="http://schemas.microsoft.com/office/drawing/2014/main" id="{00000000-0008-0000-1100-0000E3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79076" name="Picture 4" descr="C:\WINDOWS\TEMP\Symbol.gif">
          <a:extLst>
            <a:ext uri="{FF2B5EF4-FFF2-40B4-BE49-F238E27FC236}">
              <a16:creationId xmlns:a16="http://schemas.microsoft.com/office/drawing/2014/main" id="{00000000-0008-0000-1100-0000E4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79077" name="Picture 5" descr="C:\WINDOWS\TEMP\~0003946.gif">
          <a:extLst>
            <a:ext uri="{FF2B5EF4-FFF2-40B4-BE49-F238E27FC236}">
              <a16:creationId xmlns:a16="http://schemas.microsoft.com/office/drawing/2014/main" id="{00000000-0008-0000-1100-0000E53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9078" name="Picture 6" descr="C:\WINDOWS\TEMP\~0003946.gif">
          <a:extLst>
            <a:ext uri="{FF2B5EF4-FFF2-40B4-BE49-F238E27FC236}">
              <a16:creationId xmlns:a16="http://schemas.microsoft.com/office/drawing/2014/main" id="{00000000-0008-0000-1100-0000E63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79079" name="Picture 7" descr="C:\WINDOWS\TEMP\~0003946.gif">
          <a:extLst>
            <a:ext uri="{FF2B5EF4-FFF2-40B4-BE49-F238E27FC236}">
              <a16:creationId xmlns:a16="http://schemas.microsoft.com/office/drawing/2014/main" id="{00000000-0008-0000-1100-0000E73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9080" name="Picture 8" descr="C:\WINDOWS\TEMP\~0003946.gif">
          <a:extLst>
            <a:ext uri="{FF2B5EF4-FFF2-40B4-BE49-F238E27FC236}">
              <a16:creationId xmlns:a16="http://schemas.microsoft.com/office/drawing/2014/main" id="{00000000-0008-0000-1100-0000E83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9081" name="Picture 13" descr="logoMTL">
          <a:extLst>
            <a:ext uri="{FF2B5EF4-FFF2-40B4-BE49-F238E27FC236}">
              <a16:creationId xmlns:a16="http://schemas.microsoft.com/office/drawing/2014/main" id="{00000000-0008-0000-1100-0000E9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79082" name="Picture 14" descr="logoMTL">
          <a:extLst>
            <a:ext uri="{FF2B5EF4-FFF2-40B4-BE49-F238E27FC236}">
              <a16:creationId xmlns:a16="http://schemas.microsoft.com/office/drawing/2014/main" id="{00000000-0008-0000-1100-0000EA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79083" name="Picture 15" descr="logoMTL">
          <a:extLst>
            <a:ext uri="{FF2B5EF4-FFF2-40B4-BE49-F238E27FC236}">
              <a16:creationId xmlns:a16="http://schemas.microsoft.com/office/drawing/2014/main" id="{00000000-0008-0000-1100-0000EB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79084" name="Picture 16" descr="logoMTL">
          <a:extLst>
            <a:ext uri="{FF2B5EF4-FFF2-40B4-BE49-F238E27FC236}">
              <a16:creationId xmlns:a16="http://schemas.microsoft.com/office/drawing/2014/main" id="{00000000-0008-0000-1100-0000E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279</xdr:row>
      <xdr:rowOff>0</xdr:rowOff>
    </xdr:from>
    <xdr:to>
      <xdr:col>20</xdr:col>
      <xdr:colOff>800100</xdr:colOff>
      <xdr:row>279</xdr:row>
      <xdr:rowOff>228600</xdr:rowOff>
    </xdr:to>
    <xdr:pic>
      <xdr:nvPicPr>
        <xdr:cNvPr id="79085" name="Picture 9" descr="C:\WINDOWS\TEMP\~0003946.gif">
          <a:extLst>
            <a:ext uri="{FF2B5EF4-FFF2-40B4-BE49-F238E27FC236}">
              <a16:creationId xmlns:a16="http://schemas.microsoft.com/office/drawing/2014/main" id="{00000000-0008-0000-1100-0000ED34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6521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79086" name="Picture 9" descr="C:\WINDOWS\TEMP\~0003946.gif">
          <a:extLst>
            <a:ext uri="{FF2B5EF4-FFF2-40B4-BE49-F238E27FC236}">
              <a16:creationId xmlns:a16="http://schemas.microsoft.com/office/drawing/2014/main" id="{00000000-0008-0000-1100-0000EE34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79087" name="Picture 9" descr="C:\WINDOWS\TEMP\~0003946.gif">
          <a:extLst>
            <a:ext uri="{FF2B5EF4-FFF2-40B4-BE49-F238E27FC236}">
              <a16:creationId xmlns:a16="http://schemas.microsoft.com/office/drawing/2014/main" id="{00000000-0008-0000-1100-0000EF34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79088" name="Picture 9" descr="C:\WINDOWS\TEMP\~0003946.gif">
          <a:extLst>
            <a:ext uri="{FF2B5EF4-FFF2-40B4-BE49-F238E27FC236}">
              <a16:creationId xmlns:a16="http://schemas.microsoft.com/office/drawing/2014/main" id="{00000000-0008-0000-1100-0000F034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0097" name="Picture 1" descr="C:\WINDOWS\TEMP\Symbol.gif">
          <a:extLst>
            <a:ext uri="{FF2B5EF4-FFF2-40B4-BE49-F238E27FC236}">
              <a16:creationId xmlns:a16="http://schemas.microsoft.com/office/drawing/2014/main" id="{00000000-0008-0000-1200-0000E1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80098" name="Picture 2" descr="C:\WINDOWS\TEMP\Symbol.gif">
          <a:extLst>
            <a:ext uri="{FF2B5EF4-FFF2-40B4-BE49-F238E27FC236}">
              <a16:creationId xmlns:a16="http://schemas.microsoft.com/office/drawing/2014/main" id="{00000000-0008-0000-1200-0000E2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80099" name="Picture 3" descr="C:\WINDOWS\TEMP\Symbol.gif">
          <a:extLst>
            <a:ext uri="{FF2B5EF4-FFF2-40B4-BE49-F238E27FC236}">
              <a16:creationId xmlns:a16="http://schemas.microsoft.com/office/drawing/2014/main" id="{00000000-0008-0000-1200-0000E3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80100" name="Picture 4" descr="C:\WINDOWS\TEMP\Symbol.gif">
          <a:extLst>
            <a:ext uri="{FF2B5EF4-FFF2-40B4-BE49-F238E27FC236}">
              <a16:creationId xmlns:a16="http://schemas.microsoft.com/office/drawing/2014/main" id="{00000000-0008-0000-1200-0000E4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80101" name="Picture 5" descr="C:\WINDOWS\TEMP\~0003946.gif">
          <a:extLst>
            <a:ext uri="{FF2B5EF4-FFF2-40B4-BE49-F238E27FC236}">
              <a16:creationId xmlns:a16="http://schemas.microsoft.com/office/drawing/2014/main" id="{00000000-0008-0000-1200-0000E53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80102" name="Picture 6" descr="C:\WINDOWS\TEMP\~0003946.gif">
          <a:extLst>
            <a:ext uri="{FF2B5EF4-FFF2-40B4-BE49-F238E27FC236}">
              <a16:creationId xmlns:a16="http://schemas.microsoft.com/office/drawing/2014/main" id="{00000000-0008-0000-1200-0000E63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0103" name="Picture 7" descr="C:\WINDOWS\TEMP\~0003946.gif">
          <a:extLst>
            <a:ext uri="{FF2B5EF4-FFF2-40B4-BE49-F238E27FC236}">
              <a16:creationId xmlns:a16="http://schemas.microsoft.com/office/drawing/2014/main" id="{00000000-0008-0000-1200-0000E73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0104" name="Picture 8" descr="C:\WINDOWS\TEMP\~0003946.gif">
          <a:extLst>
            <a:ext uri="{FF2B5EF4-FFF2-40B4-BE49-F238E27FC236}">
              <a16:creationId xmlns:a16="http://schemas.microsoft.com/office/drawing/2014/main" id="{00000000-0008-0000-1200-0000E83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0105" name="Picture 13" descr="logoMTL">
          <a:extLst>
            <a:ext uri="{FF2B5EF4-FFF2-40B4-BE49-F238E27FC236}">
              <a16:creationId xmlns:a16="http://schemas.microsoft.com/office/drawing/2014/main" id="{00000000-0008-0000-1200-0000E9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80106" name="Picture 14" descr="logoMTL">
          <a:extLst>
            <a:ext uri="{FF2B5EF4-FFF2-40B4-BE49-F238E27FC236}">
              <a16:creationId xmlns:a16="http://schemas.microsoft.com/office/drawing/2014/main" id="{00000000-0008-0000-1200-0000EA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80107" name="Picture 15" descr="logoMTL">
          <a:extLst>
            <a:ext uri="{FF2B5EF4-FFF2-40B4-BE49-F238E27FC236}">
              <a16:creationId xmlns:a16="http://schemas.microsoft.com/office/drawing/2014/main" id="{00000000-0008-0000-1200-0000EB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80108" name="Picture 16" descr="logoMTL">
          <a:extLst>
            <a:ext uri="{FF2B5EF4-FFF2-40B4-BE49-F238E27FC236}">
              <a16:creationId xmlns:a16="http://schemas.microsoft.com/office/drawing/2014/main" id="{00000000-0008-0000-1200-0000EC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80109" name="Picture 9" descr="C:\WINDOWS\TEMP\~0003946.gif">
          <a:extLst>
            <a:ext uri="{FF2B5EF4-FFF2-40B4-BE49-F238E27FC236}">
              <a16:creationId xmlns:a16="http://schemas.microsoft.com/office/drawing/2014/main" id="{00000000-0008-0000-1200-0000ED3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80110" name="Picture 9" descr="C:\WINDOWS\TEMP\~0003946.gif">
          <a:extLst>
            <a:ext uri="{FF2B5EF4-FFF2-40B4-BE49-F238E27FC236}">
              <a16:creationId xmlns:a16="http://schemas.microsoft.com/office/drawing/2014/main" id="{00000000-0008-0000-1200-0000EE3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80111" name="Picture 9" descr="C:\WINDOWS\TEMP\~0003946.gif">
          <a:extLst>
            <a:ext uri="{FF2B5EF4-FFF2-40B4-BE49-F238E27FC236}">
              <a16:creationId xmlns:a16="http://schemas.microsoft.com/office/drawing/2014/main" id="{00000000-0008-0000-1200-0000EF3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80112" name="Picture 9" descr="C:\WINDOWS\TEMP\~0003946.gif">
          <a:extLst>
            <a:ext uri="{FF2B5EF4-FFF2-40B4-BE49-F238E27FC236}">
              <a16:creationId xmlns:a16="http://schemas.microsoft.com/office/drawing/2014/main" id="{00000000-0008-0000-1200-0000F03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2689" name="Picture 1" descr="C:\WINDOWS\TEMP\Symbol.gif">
          <a:extLst>
            <a:ext uri="{FF2B5EF4-FFF2-40B4-BE49-F238E27FC236}">
              <a16:creationId xmlns:a16="http://schemas.microsoft.com/office/drawing/2014/main" id="{00000000-0008-0000-0100-0000E1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62690" name="Picture 2" descr="C:\WINDOWS\TEMP\Symbol.gif">
          <a:extLst>
            <a:ext uri="{FF2B5EF4-FFF2-40B4-BE49-F238E27FC236}">
              <a16:creationId xmlns:a16="http://schemas.microsoft.com/office/drawing/2014/main" id="{00000000-0008-0000-0100-0000E2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62691" name="Picture 3" descr="C:\WINDOWS\TEMP\Symbol.gif">
          <a:extLst>
            <a:ext uri="{FF2B5EF4-FFF2-40B4-BE49-F238E27FC236}">
              <a16:creationId xmlns:a16="http://schemas.microsoft.com/office/drawing/2014/main" id="{00000000-0008-0000-0100-0000E3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2692" name="Picture 4" descr="C:\WINDOWS\TEMP\Symbol.gif">
          <a:extLst>
            <a:ext uri="{FF2B5EF4-FFF2-40B4-BE49-F238E27FC236}">
              <a16:creationId xmlns:a16="http://schemas.microsoft.com/office/drawing/2014/main" id="{00000000-0008-0000-0100-0000E4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62693" name="Picture 5" descr="C:\WINDOWS\TEMP\~0003946.gif">
          <a:extLst>
            <a:ext uri="{FF2B5EF4-FFF2-40B4-BE49-F238E27FC236}">
              <a16:creationId xmlns:a16="http://schemas.microsoft.com/office/drawing/2014/main" id="{00000000-0008-0000-0100-0000E5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62694" name="Picture 6" descr="C:\WINDOWS\TEMP\~0003946.gif">
          <a:extLst>
            <a:ext uri="{FF2B5EF4-FFF2-40B4-BE49-F238E27FC236}">
              <a16:creationId xmlns:a16="http://schemas.microsoft.com/office/drawing/2014/main" id="{00000000-0008-0000-0100-0000E6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62695" name="Picture 7" descr="C:\WINDOWS\TEMP\~0003946.gif">
          <a:extLst>
            <a:ext uri="{FF2B5EF4-FFF2-40B4-BE49-F238E27FC236}">
              <a16:creationId xmlns:a16="http://schemas.microsoft.com/office/drawing/2014/main" id="{00000000-0008-0000-0100-0000E7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2696" name="Picture 8" descr="C:\WINDOWS\TEMP\~0003946.gif">
          <a:extLst>
            <a:ext uri="{FF2B5EF4-FFF2-40B4-BE49-F238E27FC236}">
              <a16:creationId xmlns:a16="http://schemas.microsoft.com/office/drawing/2014/main" id="{00000000-0008-0000-0100-0000E8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2697" name="Picture 9" descr="C:\WINDOWS\TEMP\~0003946.gif">
          <a:extLst>
            <a:ext uri="{FF2B5EF4-FFF2-40B4-BE49-F238E27FC236}">
              <a16:creationId xmlns:a16="http://schemas.microsoft.com/office/drawing/2014/main" id="{00000000-0008-0000-0100-0000E9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62698" name="Picture 10" descr="C:\WINDOWS\TEMP\~0003946.gif">
          <a:extLst>
            <a:ext uri="{FF2B5EF4-FFF2-40B4-BE49-F238E27FC236}">
              <a16:creationId xmlns:a16="http://schemas.microsoft.com/office/drawing/2014/main" id="{00000000-0008-0000-0100-0000EA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62699" name="Picture 11" descr="C:\WINDOWS\TEMP\~0003946.gif">
          <a:extLst>
            <a:ext uri="{FF2B5EF4-FFF2-40B4-BE49-F238E27FC236}">
              <a16:creationId xmlns:a16="http://schemas.microsoft.com/office/drawing/2014/main" id="{00000000-0008-0000-0100-0000EB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62700" name="Picture 12" descr="C:\WINDOWS\TEMP\~0003946.gif">
          <a:extLst>
            <a:ext uri="{FF2B5EF4-FFF2-40B4-BE49-F238E27FC236}">
              <a16:creationId xmlns:a16="http://schemas.microsoft.com/office/drawing/2014/main" id="{00000000-0008-0000-0100-0000EC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2701" name="Picture 13" descr="logoMTL">
          <a:extLst>
            <a:ext uri="{FF2B5EF4-FFF2-40B4-BE49-F238E27FC236}">
              <a16:creationId xmlns:a16="http://schemas.microsoft.com/office/drawing/2014/main" id="{00000000-0008-0000-0100-0000ED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62702" name="Picture 14" descr="logoMTL">
          <a:extLst>
            <a:ext uri="{FF2B5EF4-FFF2-40B4-BE49-F238E27FC236}">
              <a16:creationId xmlns:a16="http://schemas.microsoft.com/office/drawing/2014/main" id="{00000000-0008-0000-0100-0000EE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62703" name="Picture 15" descr="logoMTL">
          <a:extLst>
            <a:ext uri="{FF2B5EF4-FFF2-40B4-BE49-F238E27FC236}">
              <a16:creationId xmlns:a16="http://schemas.microsoft.com/office/drawing/2014/main" id="{00000000-0008-0000-0100-0000EF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62704" name="Picture 16" descr="logoMTL">
          <a:extLst>
            <a:ext uri="{FF2B5EF4-FFF2-40B4-BE49-F238E27FC236}">
              <a16:creationId xmlns:a16="http://schemas.microsoft.com/office/drawing/2014/main" id="{00000000-0008-0000-0100-0000F0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1121" name="Picture 1" descr="C:\WINDOWS\TEMP\Symbol.gif">
          <a:extLst>
            <a:ext uri="{FF2B5EF4-FFF2-40B4-BE49-F238E27FC236}">
              <a16:creationId xmlns:a16="http://schemas.microsoft.com/office/drawing/2014/main" id="{00000000-0008-0000-1300-0000E1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81122" name="Picture 2" descr="C:\WINDOWS\TEMP\Symbol.gif">
          <a:extLst>
            <a:ext uri="{FF2B5EF4-FFF2-40B4-BE49-F238E27FC236}">
              <a16:creationId xmlns:a16="http://schemas.microsoft.com/office/drawing/2014/main" id="{00000000-0008-0000-1300-0000E2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81123" name="Picture 3" descr="C:\WINDOWS\TEMP\Symbol.gif">
          <a:extLst>
            <a:ext uri="{FF2B5EF4-FFF2-40B4-BE49-F238E27FC236}">
              <a16:creationId xmlns:a16="http://schemas.microsoft.com/office/drawing/2014/main" id="{00000000-0008-0000-1300-0000E3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81124" name="Picture 4" descr="C:\WINDOWS\TEMP\Symbol.gif">
          <a:extLst>
            <a:ext uri="{FF2B5EF4-FFF2-40B4-BE49-F238E27FC236}">
              <a16:creationId xmlns:a16="http://schemas.microsoft.com/office/drawing/2014/main" id="{00000000-0008-0000-1300-0000E4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81125" name="Picture 5" descr="C:\WINDOWS\TEMP\~0003946.gif">
          <a:extLst>
            <a:ext uri="{FF2B5EF4-FFF2-40B4-BE49-F238E27FC236}">
              <a16:creationId xmlns:a16="http://schemas.microsoft.com/office/drawing/2014/main" id="{00000000-0008-0000-1300-0000E53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81126" name="Picture 6" descr="C:\WINDOWS\TEMP\~0003946.gif">
          <a:extLst>
            <a:ext uri="{FF2B5EF4-FFF2-40B4-BE49-F238E27FC236}">
              <a16:creationId xmlns:a16="http://schemas.microsoft.com/office/drawing/2014/main" id="{00000000-0008-0000-1300-0000E63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1127" name="Picture 7" descr="C:\WINDOWS\TEMP\~0003946.gif">
          <a:extLst>
            <a:ext uri="{FF2B5EF4-FFF2-40B4-BE49-F238E27FC236}">
              <a16:creationId xmlns:a16="http://schemas.microsoft.com/office/drawing/2014/main" id="{00000000-0008-0000-1300-0000E73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1128" name="Picture 8" descr="C:\WINDOWS\TEMP\~0003946.gif">
          <a:extLst>
            <a:ext uri="{FF2B5EF4-FFF2-40B4-BE49-F238E27FC236}">
              <a16:creationId xmlns:a16="http://schemas.microsoft.com/office/drawing/2014/main" id="{00000000-0008-0000-1300-0000E83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1129" name="Picture 13" descr="logoMTL">
          <a:extLst>
            <a:ext uri="{FF2B5EF4-FFF2-40B4-BE49-F238E27FC236}">
              <a16:creationId xmlns:a16="http://schemas.microsoft.com/office/drawing/2014/main" id="{00000000-0008-0000-1300-0000E93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81130" name="Picture 14" descr="logoMTL">
          <a:extLst>
            <a:ext uri="{FF2B5EF4-FFF2-40B4-BE49-F238E27FC236}">
              <a16:creationId xmlns:a16="http://schemas.microsoft.com/office/drawing/2014/main" id="{00000000-0008-0000-1300-0000EA3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81131" name="Picture 15" descr="logoMTL">
          <a:extLst>
            <a:ext uri="{FF2B5EF4-FFF2-40B4-BE49-F238E27FC236}">
              <a16:creationId xmlns:a16="http://schemas.microsoft.com/office/drawing/2014/main" id="{00000000-0008-0000-1300-0000EB3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81132" name="Picture 16" descr="logoMTL">
          <a:extLst>
            <a:ext uri="{FF2B5EF4-FFF2-40B4-BE49-F238E27FC236}">
              <a16:creationId xmlns:a16="http://schemas.microsoft.com/office/drawing/2014/main" id="{00000000-0008-0000-1300-0000EC3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81133" name="Picture 9" descr="C:\WINDOWS\TEMP\~0003946.gif">
          <a:extLst>
            <a:ext uri="{FF2B5EF4-FFF2-40B4-BE49-F238E27FC236}">
              <a16:creationId xmlns:a16="http://schemas.microsoft.com/office/drawing/2014/main" id="{00000000-0008-0000-1300-0000ED3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81134" name="Picture 9" descr="C:\WINDOWS\TEMP\~0003946.gif">
          <a:extLst>
            <a:ext uri="{FF2B5EF4-FFF2-40B4-BE49-F238E27FC236}">
              <a16:creationId xmlns:a16="http://schemas.microsoft.com/office/drawing/2014/main" id="{00000000-0008-0000-1300-0000EE3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81135" name="Picture 9" descr="C:\WINDOWS\TEMP\~0003946.gif">
          <a:extLst>
            <a:ext uri="{FF2B5EF4-FFF2-40B4-BE49-F238E27FC236}">
              <a16:creationId xmlns:a16="http://schemas.microsoft.com/office/drawing/2014/main" id="{00000000-0008-0000-1300-0000EF3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81136" name="Picture 9" descr="C:\WINDOWS\TEMP\~0003946.gif">
          <a:extLst>
            <a:ext uri="{FF2B5EF4-FFF2-40B4-BE49-F238E27FC236}">
              <a16:creationId xmlns:a16="http://schemas.microsoft.com/office/drawing/2014/main" id="{00000000-0008-0000-1300-0000F03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2145" name="Picture 1" descr="C:\WINDOWS\TEMP\Symbol.gif">
          <a:extLst>
            <a:ext uri="{FF2B5EF4-FFF2-40B4-BE49-F238E27FC236}">
              <a16:creationId xmlns:a16="http://schemas.microsoft.com/office/drawing/2014/main" id="{00000000-0008-0000-1400-0000E14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82146" name="Picture 2" descr="C:\WINDOWS\TEMP\Symbol.gif">
          <a:extLst>
            <a:ext uri="{FF2B5EF4-FFF2-40B4-BE49-F238E27FC236}">
              <a16:creationId xmlns:a16="http://schemas.microsoft.com/office/drawing/2014/main" id="{00000000-0008-0000-1400-0000E24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82147" name="Picture 3" descr="C:\WINDOWS\TEMP\Symbol.gif">
          <a:extLst>
            <a:ext uri="{FF2B5EF4-FFF2-40B4-BE49-F238E27FC236}">
              <a16:creationId xmlns:a16="http://schemas.microsoft.com/office/drawing/2014/main" id="{00000000-0008-0000-1400-0000E34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82148" name="Picture 4" descr="C:\WINDOWS\TEMP\Symbol.gif">
          <a:extLst>
            <a:ext uri="{FF2B5EF4-FFF2-40B4-BE49-F238E27FC236}">
              <a16:creationId xmlns:a16="http://schemas.microsoft.com/office/drawing/2014/main" id="{00000000-0008-0000-1400-0000E44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82149" name="Picture 5" descr="C:\WINDOWS\TEMP\~0003946.gif">
          <a:extLst>
            <a:ext uri="{FF2B5EF4-FFF2-40B4-BE49-F238E27FC236}">
              <a16:creationId xmlns:a16="http://schemas.microsoft.com/office/drawing/2014/main" id="{00000000-0008-0000-1400-0000E54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82150" name="Picture 6" descr="C:\WINDOWS\TEMP\~0003946.gif">
          <a:extLst>
            <a:ext uri="{FF2B5EF4-FFF2-40B4-BE49-F238E27FC236}">
              <a16:creationId xmlns:a16="http://schemas.microsoft.com/office/drawing/2014/main" id="{00000000-0008-0000-1400-0000E64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2151" name="Picture 7" descr="C:\WINDOWS\TEMP\~0003946.gif">
          <a:extLst>
            <a:ext uri="{FF2B5EF4-FFF2-40B4-BE49-F238E27FC236}">
              <a16:creationId xmlns:a16="http://schemas.microsoft.com/office/drawing/2014/main" id="{00000000-0008-0000-1400-0000E74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2152" name="Picture 8" descr="C:\WINDOWS\TEMP\~0003946.gif">
          <a:extLst>
            <a:ext uri="{FF2B5EF4-FFF2-40B4-BE49-F238E27FC236}">
              <a16:creationId xmlns:a16="http://schemas.microsoft.com/office/drawing/2014/main" id="{00000000-0008-0000-1400-0000E84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2153" name="Picture 13" descr="logoMTL">
          <a:extLst>
            <a:ext uri="{FF2B5EF4-FFF2-40B4-BE49-F238E27FC236}">
              <a16:creationId xmlns:a16="http://schemas.microsoft.com/office/drawing/2014/main" id="{00000000-0008-0000-1400-0000E94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82154" name="Picture 14" descr="logoMTL">
          <a:extLst>
            <a:ext uri="{FF2B5EF4-FFF2-40B4-BE49-F238E27FC236}">
              <a16:creationId xmlns:a16="http://schemas.microsoft.com/office/drawing/2014/main" id="{00000000-0008-0000-1400-0000EA4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82155" name="Picture 15" descr="logoMTL">
          <a:extLst>
            <a:ext uri="{FF2B5EF4-FFF2-40B4-BE49-F238E27FC236}">
              <a16:creationId xmlns:a16="http://schemas.microsoft.com/office/drawing/2014/main" id="{00000000-0008-0000-1400-0000EB4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82156" name="Picture 16" descr="logoMTL">
          <a:extLst>
            <a:ext uri="{FF2B5EF4-FFF2-40B4-BE49-F238E27FC236}">
              <a16:creationId xmlns:a16="http://schemas.microsoft.com/office/drawing/2014/main" id="{00000000-0008-0000-1400-0000EC4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82157" name="Picture 9" descr="C:\WINDOWS\TEMP\~0003946.gif">
          <a:extLst>
            <a:ext uri="{FF2B5EF4-FFF2-40B4-BE49-F238E27FC236}">
              <a16:creationId xmlns:a16="http://schemas.microsoft.com/office/drawing/2014/main" id="{00000000-0008-0000-1400-0000ED4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82158" name="Picture 9" descr="C:\WINDOWS\TEMP\~0003946.gif">
          <a:extLst>
            <a:ext uri="{FF2B5EF4-FFF2-40B4-BE49-F238E27FC236}">
              <a16:creationId xmlns:a16="http://schemas.microsoft.com/office/drawing/2014/main" id="{00000000-0008-0000-1400-0000EE4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82159" name="Picture 9" descr="C:\WINDOWS\TEMP\~0003946.gif">
          <a:extLst>
            <a:ext uri="{FF2B5EF4-FFF2-40B4-BE49-F238E27FC236}">
              <a16:creationId xmlns:a16="http://schemas.microsoft.com/office/drawing/2014/main" id="{00000000-0008-0000-1400-0000EF4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82160" name="Picture 9" descr="C:\WINDOWS\TEMP\~0003946.gif">
          <a:extLst>
            <a:ext uri="{FF2B5EF4-FFF2-40B4-BE49-F238E27FC236}">
              <a16:creationId xmlns:a16="http://schemas.microsoft.com/office/drawing/2014/main" id="{00000000-0008-0000-1400-0000F04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4113" name="Picture 1" descr="C:\WINDOWS\TEMP\Symbol.gif">
          <a:extLst>
            <a:ext uri="{FF2B5EF4-FFF2-40B4-BE49-F238E27FC236}">
              <a16:creationId xmlns:a16="http://schemas.microsoft.com/office/drawing/2014/main" id="{00000000-0008-0000-1500-0000914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84114" name="Picture 2" descr="C:\WINDOWS\TEMP\Symbol.gif">
          <a:extLst>
            <a:ext uri="{FF2B5EF4-FFF2-40B4-BE49-F238E27FC236}">
              <a16:creationId xmlns:a16="http://schemas.microsoft.com/office/drawing/2014/main" id="{00000000-0008-0000-1500-0000924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84115" name="Picture 3" descr="C:\WINDOWS\TEMP\Symbol.gif">
          <a:extLst>
            <a:ext uri="{FF2B5EF4-FFF2-40B4-BE49-F238E27FC236}">
              <a16:creationId xmlns:a16="http://schemas.microsoft.com/office/drawing/2014/main" id="{00000000-0008-0000-1500-0000934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84116" name="Picture 4" descr="C:\WINDOWS\TEMP\Symbol.gif">
          <a:extLst>
            <a:ext uri="{FF2B5EF4-FFF2-40B4-BE49-F238E27FC236}">
              <a16:creationId xmlns:a16="http://schemas.microsoft.com/office/drawing/2014/main" id="{00000000-0008-0000-1500-0000944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84117" name="Picture 5" descr="C:\WINDOWS\TEMP\~0003946.gif">
          <a:extLst>
            <a:ext uri="{FF2B5EF4-FFF2-40B4-BE49-F238E27FC236}">
              <a16:creationId xmlns:a16="http://schemas.microsoft.com/office/drawing/2014/main" id="{00000000-0008-0000-1500-0000954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84118" name="Picture 6" descr="C:\WINDOWS\TEMP\~0003946.gif">
          <a:extLst>
            <a:ext uri="{FF2B5EF4-FFF2-40B4-BE49-F238E27FC236}">
              <a16:creationId xmlns:a16="http://schemas.microsoft.com/office/drawing/2014/main" id="{00000000-0008-0000-1500-0000964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4119" name="Picture 7" descr="C:\WINDOWS\TEMP\~0003946.gif">
          <a:extLst>
            <a:ext uri="{FF2B5EF4-FFF2-40B4-BE49-F238E27FC236}">
              <a16:creationId xmlns:a16="http://schemas.microsoft.com/office/drawing/2014/main" id="{00000000-0008-0000-1500-0000974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4120" name="Picture 8" descr="C:\WINDOWS\TEMP\~0003946.gif">
          <a:extLst>
            <a:ext uri="{FF2B5EF4-FFF2-40B4-BE49-F238E27FC236}">
              <a16:creationId xmlns:a16="http://schemas.microsoft.com/office/drawing/2014/main" id="{00000000-0008-0000-1500-0000984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4121" name="Picture 13" descr="logoMTL">
          <a:extLst>
            <a:ext uri="{FF2B5EF4-FFF2-40B4-BE49-F238E27FC236}">
              <a16:creationId xmlns:a16="http://schemas.microsoft.com/office/drawing/2014/main" id="{00000000-0008-0000-1500-0000994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84122" name="Picture 14" descr="logoMTL">
          <a:extLst>
            <a:ext uri="{FF2B5EF4-FFF2-40B4-BE49-F238E27FC236}">
              <a16:creationId xmlns:a16="http://schemas.microsoft.com/office/drawing/2014/main" id="{00000000-0008-0000-1500-00009A4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84123" name="Picture 15" descr="logoMTL">
          <a:extLst>
            <a:ext uri="{FF2B5EF4-FFF2-40B4-BE49-F238E27FC236}">
              <a16:creationId xmlns:a16="http://schemas.microsoft.com/office/drawing/2014/main" id="{00000000-0008-0000-1500-00009B4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84124" name="Picture 16" descr="logoMTL">
          <a:extLst>
            <a:ext uri="{FF2B5EF4-FFF2-40B4-BE49-F238E27FC236}">
              <a16:creationId xmlns:a16="http://schemas.microsoft.com/office/drawing/2014/main" id="{00000000-0008-0000-1500-00009C4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84125" name="Picture 9" descr="C:\WINDOWS\TEMP\~0003946.gif">
          <a:extLst>
            <a:ext uri="{FF2B5EF4-FFF2-40B4-BE49-F238E27FC236}">
              <a16:creationId xmlns:a16="http://schemas.microsoft.com/office/drawing/2014/main" id="{00000000-0008-0000-1500-00009D4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84126" name="Picture 9" descr="C:\WINDOWS\TEMP\~0003946.gif">
          <a:extLst>
            <a:ext uri="{FF2B5EF4-FFF2-40B4-BE49-F238E27FC236}">
              <a16:creationId xmlns:a16="http://schemas.microsoft.com/office/drawing/2014/main" id="{00000000-0008-0000-1500-00009E4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84127" name="Picture 9" descr="C:\WINDOWS\TEMP\~0003946.gif">
          <a:extLst>
            <a:ext uri="{FF2B5EF4-FFF2-40B4-BE49-F238E27FC236}">
              <a16:creationId xmlns:a16="http://schemas.microsoft.com/office/drawing/2014/main" id="{00000000-0008-0000-1500-00009F4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84128" name="Picture 9" descr="C:\WINDOWS\TEMP\~0003946.gif">
          <a:extLst>
            <a:ext uri="{FF2B5EF4-FFF2-40B4-BE49-F238E27FC236}">
              <a16:creationId xmlns:a16="http://schemas.microsoft.com/office/drawing/2014/main" id="{00000000-0008-0000-1500-0000A048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6081" name="Picture 1" descr="C:\WINDOWS\TEMP\Symbol.gif">
          <a:extLst>
            <a:ext uri="{FF2B5EF4-FFF2-40B4-BE49-F238E27FC236}">
              <a16:creationId xmlns:a16="http://schemas.microsoft.com/office/drawing/2014/main" id="{00000000-0008-0000-1600-0000415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86082" name="Picture 2" descr="C:\WINDOWS\TEMP\Symbol.gif">
          <a:extLst>
            <a:ext uri="{FF2B5EF4-FFF2-40B4-BE49-F238E27FC236}">
              <a16:creationId xmlns:a16="http://schemas.microsoft.com/office/drawing/2014/main" id="{00000000-0008-0000-1600-0000425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86083" name="Picture 3" descr="C:\WINDOWS\TEMP\Symbol.gif">
          <a:extLst>
            <a:ext uri="{FF2B5EF4-FFF2-40B4-BE49-F238E27FC236}">
              <a16:creationId xmlns:a16="http://schemas.microsoft.com/office/drawing/2014/main" id="{00000000-0008-0000-1600-0000435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86084" name="Picture 4" descr="C:\WINDOWS\TEMP\Symbol.gif">
          <a:extLst>
            <a:ext uri="{FF2B5EF4-FFF2-40B4-BE49-F238E27FC236}">
              <a16:creationId xmlns:a16="http://schemas.microsoft.com/office/drawing/2014/main" id="{00000000-0008-0000-1600-0000445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86085" name="Picture 5" descr="C:\WINDOWS\TEMP\~0003946.gif">
          <a:extLst>
            <a:ext uri="{FF2B5EF4-FFF2-40B4-BE49-F238E27FC236}">
              <a16:creationId xmlns:a16="http://schemas.microsoft.com/office/drawing/2014/main" id="{00000000-0008-0000-1600-0000455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86086" name="Picture 6" descr="C:\WINDOWS\TEMP\~0003946.gif">
          <a:extLst>
            <a:ext uri="{FF2B5EF4-FFF2-40B4-BE49-F238E27FC236}">
              <a16:creationId xmlns:a16="http://schemas.microsoft.com/office/drawing/2014/main" id="{00000000-0008-0000-1600-0000465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6087" name="Picture 7" descr="C:\WINDOWS\TEMP\~0003946.gif">
          <a:extLst>
            <a:ext uri="{FF2B5EF4-FFF2-40B4-BE49-F238E27FC236}">
              <a16:creationId xmlns:a16="http://schemas.microsoft.com/office/drawing/2014/main" id="{00000000-0008-0000-1600-0000475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6088" name="Picture 8" descr="C:\WINDOWS\TEMP\~0003946.gif">
          <a:extLst>
            <a:ext uri="{FF2B5EF4-FFF2-40B4-BE49-F238E27FC236}">
              <a16:creationId xmlns:a16="http://schemas.microsoft.com/office/drawing/2014/main" id="{00000000-0008-0000-1600-0000485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6089" name="Picture 13" descr="logoMTL">
          <a:extLst>
            <a:ext uri="{FF2B5EF4-FFF2-40B4-BE49-F238E27FC236}">
              <a16:creationId xmlns:a16="http://schemas.microsoft.com/office/drawing/2014/main" id="{00000000-0008-0000-1600-000049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86090" name="Picture 14" descr="logoMTL">
          <a:extLst>
            <a:ext uri="{FF2B5EF4-FFF2-40B4-BE49-F238E27FC236}">
              <a16:creationId xmlns:a16="http://schemas.microsoft.com/office/drawing/2014/main" id="{00000000-0008-0000-1600-00004A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86091" name="Picture 15" descr="logoMTL">
          <a:extLst>
            <a:ext uri="{FF2B5EF4-FFF2-40B4-BE49-F238E27FC236}">
              <a16:creationId xmlns:a16="http://schemas.microsoft.com/office/drawing/2014/main" id="{00000000-0008-0000-1600-00004B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86092" name="Picture 16" descr="logoMTL">
          <a:extLst>
            <a:ext uri="{FF2B5EF4-FFF2-40B4-BE49-F238E27FC236}">
              <a16:creationId xmlns:a16="http://schemas.microsoft.com/office/drawing/2014/main" id="{00000000-0008-0000-1600-00004C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86093" name="Picture 9" descr="C:\WINDOWS\TEMP\~0003946.gif">
          <a:extLst>
            <a:ext uri="{FF2B5EF4-FFF2-40B4-BE49-F238E27FC236}">
              <a16:creationId xmlns:a16="http://schemas.microsoft.com/office/drawing/2014/main" id="{00000000-0008-0000-1600-00004D5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86094" name="Picture 9" descr="C:\WINDOWS\TEMP\~0003946.gif">
          <a:extLst>
            <a:ext uri="{FF2B5EF4-FFF2-40B4-BE49-F238E27FC236}">
              <a16:creationId xmlns:a16="http://schemas.microsoft.com/office/drawing/2014/main" id="{00000000-0008-0000-1600-00004E5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86095" name="Picture 9" descr="C:\WINDOWS\TEMP\~0003946.gif">
          <a:extLst>
            <a:ext uri="{FF2B5EF4-FFF2-40B4-BE49-F238E27FC236}">
              <a16:creationId xmlns:a16="http://schemas.microsoft.com/office/drawing/2014/main" id="{00000000-0008-0000-1600-00004F5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86096" name="Picture 9" descr="C:\WINDOWS\TEMP\~0003946.gif">
          <a:extLst>
            <a:ext uri="{FF2B5EF4-FFF2-40B4-BE49-F238E27FC236}">
              <a16:creationId xmlns:a16="http://schemas.microsoft.com/office/drawing/2014/main" id="{00000000-0008-0000-1600-00005050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55265" name="Picture 1" descr="C:\WINDOWS\TEMP\Symbol.gif">
          <a:extLst>
            <a:ext uri="{FF2B5EF4-FFF2-40B4-BE49-F238E27FC236}">
              <a16:creationId xmlns:a16="http://schemas.microsoft.com/office/drawing/2014/main" id="{00000000-0008-0000-1700-0000E1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5266" name="Picture 2" descr="C:\WINDOWS\TEMP\Symbol.gif">
          <a:extLst>
            <a:ext uri="{FF2B5EF4-FFF2-40B4-BE49-F238E27FC236}">
              <a16:creationId xmlns:a16="http://schemas.microsoft.com/office/drawing/2014/main" id="{00000000-0008-0000-1700-0000E2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5267" name="Picture 3" descr="C:\WINDOWS\TEMP\Symbol.gif">
          <a:extLst>
            <a:ext uri="{FF2B5EF4-FFF2-40B4-BE49-F238E27FC236}">
              <a16:creationId xmlns:a16="http://schemas.microsoft.com/office/drawing/2014/main" id="{00000000-0008-0000-1700-0000E3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5268" name="Picture 4" descr="C:\WINDOWS\TEMP\Symbol.gif">
          <a:extLst>
            <a:ext uri="{FF2B5EF4-FFF2-40B4-BE49-F238E27FC236}">
              <a16:creationId xmlns:a16="http://schemas.microsoft.com/office/drawing/2014/main" id="{00000000-0008-0000-1700-0000E4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55269" name="Picture 5" descr="C:\WINDOWS\TEMP\~0003946.gif">
          <a:extLst>
            <a:ext uri="{FF2B5EF4-FFF2-40B4-BE49-F238E27FC236}">
              <a16:creationId xmlns:a16="http://schemas.microsoft.com/office/drawing/2014/main" id="{00000000-0008-0000-1700-0000E5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55270" name="Picture 6" descr="C:\WINDOWS\TEMP\~0003946.gif">
          <a:extLst>
            <a:ext uri="{FF2B5EF4-FFF2-40B4-BE49-F238E27FC236}">
              <a16:creationId xmlns:a16="http://schemas.microsoft.com/office/drawing/2014/main" id="{00000000-0008-0000-1700-0000E6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55271" name="Picture 7" descr="C:\WINDOWS\TEMP\~0003946.gif">
          <a:extLst>
            <a:ext uri="{FF2B5EF4-FFF2-40B4-BE49-F238E27FC236}">
              <a16:creationId xmlns:a16="http://schemas.microsoft.com/office/drawing/2014/main" id="{00000000-0008-0000-1700-0000E7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5272" name="Picture 8" descr="C:\WINDOWS\TEMP\~0003946.gif">
          <a:extLst>
            <a:ext uri="{FF2B5EF4-FFF2-40B4-BE49-F238E27FC236}">
              <a16:creationId xmlns:a16="http://schemas.microsoft.com/office/drawing/2014/main" id="{00000000-0008-0000-1700-0000E8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5273" name="Picture 13" descr="logoMTL">
          <a:extLst>
            <a:ext uri="{FF2B5EF4-FFF2-40B4-BE49-F238E27FC236}">
              <a16:creationId xmlns:a16="http://schemas.microsoft.com/office/drawing/2014/main" id="{00000000-0008-0000-1700-0000E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55274" name="Picture 14" descr="logoMTL">
          <a:extLst>
            <a:ext uri="{FF2B5EF4-FFF2-40B4-BE49-F238E27FC236}">
              <a16:creationId xmlns:a16="http://schemas.microsoft.com/office/drawing/2014/main" id="{00000000-0008-0000-1700-0000EA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55275" name="Picture 15" descr="logoMTL">
          <a:extLst>
            <a:ext uri="{FF2B5EF4-FFF2-40B4-BE49-F238E27FC236}">
              <a16:creationId xmlns:a16="http://schemas.microsoft.com/office/drawing/2014/main" id="{00000000-0008-0000-1700-0000EB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55276" name="Picture 16" descr="logoMTL">
          <a:extLst>
            <a:ext uri="{FF2B5EF4-FFF2-40B4-BE49-F238E27FC236}">
              <a16:creationId xmlns:a16="http://schemas.microsoft.com/office/drawing/2014/main" id="{00000000-0008-0000-1700-0000EC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55277" name="Picture 9" descr="C:\WINDOWS\TEMP\~0003946.gif">
          <a:extLst>
            <a:ext uri="{FF2B5EF4-FFF2-40B4-BE49-F238E27FC236}">
              <a16:creationId xmlns:a16="http://schemas.microsoft.com/office/drawing/2014/main" id="{00000000-0008-0000-1700-0000EDD7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55278" name="Picture 9" descr="C:\WINDOWS\TEMP\~0003946.gif">
          <a:extLst>
            <a:ext uri="{FF2B5EF4-FFF2-40B4-BE49-F238E27FC236}">
              <a16:creationId xmlns:a16="http://schemas.microsoft.com/office/drawing/2014/main" id="{00000000-0008-0000-1700-0000EED7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55279" name="Picture 9" descr="C:\WINDOWS\TEMP\~0003946.gif">
          <a:extLst>
            <a:ext uri="{FF2B5EF4-FFF2-40B4-BE49-F238E27FC236}">
              <a16:creationId xmlns:a16="http://schemas.microsoft.com/office/drawing/2014/main" id="{00000000-0008-0000-1700-0000EFD7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55280" name="Picture 9" descr="C:\WINDOWS\TEMP\~0003946.gif">
          <a:extLst>
            <a:ext uri="{FF2B5EF4-FFF2-40B4-BE49-F238E27FC236}">
              <a16:creationId xmlns:a16="http://schemas.microsoft.com/office/drawing/2014/main" id="{00000000-0008-0000-1700-0000F0D7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57105" name="Picture 1" descr="C:\WINDOWS\TEMP\Symbol.gif">
          <a:extLst>
            <a:ext uri="{FF2B5EF4-FFF2-40B4-BE49-F238E27FC236}">
              <a16:creationId xmlns:a16="http://schemas.microsoft.com/office/drawing/2014/main" id="{00000000-0008-0000-1800-000011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7106" name="Picture 2" descr="C:\WINDOWS\TEMP\Symbol.gif">
          <a:extLst>
            <a:ext uri="{FF2B5EF4-FFF2-40B4-BE49-F238E27FC236}">
              <a16:creationId xmlns:a16="http://schemas.microsoft.com/office/drawing/2014/main" id="{00000000-0008-0000-1800-000012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7107" name="Picture 3" descr="C:\WINDOWS\TEMP\Symbol.gif">
          <a:extLst>
            <a:ext uri="{FF2B5EF4-FFF2-40B4-BE49-F238E27FC236}">
              <a16:creationId xmlns:a16="http://schemas.microsoft.com/office/drawing/2014/main" id="{00000000-0008-0000-1800-000013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7108" name="Picture 4" descr="C:\WINDOWS\TEMP\Symbol.gif">
          <a:extLst>
            <a:ext uri="{FF2B5EF4-FFF2-40B4-BE49-F238E27FC236}">
              <a16:creationId xmlns:a16="http://schemas.microsoft.com/office/drawing/2014/main" id="{00000000-0008-0000-1800-000014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57109" name="Picture 5" descr="C:\WINDOWS\TEMP\~0003946.gif">
          <a:extLst>
            <a:ext uri="{FF2B5EF4-FFF2-40B4-BE49-F238E27FC236}">
              <a16:creationId xmlns:a16="http://schemas.microsoft.com/office/drawing/2014/main" id="{00000000-0008-0000-1800-000015D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57110" name="Picture 6" descr="C:\WINDOWS\TEMP\~0003946.gif">
          <a:extLst>
            <a:ext uri="{FF2B5EF4-FFF2-40B4-BE49-F238E27FC236}">
              <a16:creationId xmlns:a16="http://schemas.microsoft.com/office/drawing/2014/main" id="{00000000-0008-0000-1800-000016D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57111" name="Picture 7" descr="C:\WINDOWS\TEMP\~0003946.gif">
          <a:extLst>
            <a:ext uri="{FF2B5EF4-FFF2-40B4-BE49-F238E27FC236}">
              <a16:creationId xmlns:a16="http://schemas.microsoft.com/office/drawing/2014/main" id="{00000000-0008-0000-1800-000017D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7112" name="Picture 8" descr="C:\WINDOWS\TEMP\~0003946.gif">
          <a:extLst>
            <a:ext uri="{FF2B5EF4-FFF2-40B4-BE49-F238E27FC236}">
              <a16:creationId xmlns:a16="http://schemas.microsoft.com/office/drawing/2014/main" id="{00000000-0008-0000-1800-000018D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7113" name="Picture 13" descr="logoMTL">
          <a:extLst>
            <a:ext uri="{FF2B5EF4-FFF2-40B4-BE49-F238E27FC236}">
              <a16:creationId xmlns:a16="http://schemas.microsoft.com/office/drawing/2014/main" id="{00000000-0008-0000-1800-000019D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57114" name="Picture 14" descr="logoMTL">
          <a:extLst>
            <a:ext uri="{FF2B5EF4-FFF2-40B4-BE49-F238E27FC236}">
              <a16:creationId xmlns:a16="http://schemas.microsoft.com/office/drawing/2014/main" id="{00000000-0008-0000-1800-00001AD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57115" name="Picture 15" descr="logoMTL">
          <a:extLst>
            <a:ext uri="{FF2B5EF4-FFF2-40B4-BE49-F238E27FC236}">
              <a16:creationId xmlns:a16="http://schemas.microsoft.com/office/drawing/2014/main" id="{00000000-0008-0000-1800-00001BD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57116" name="Picture 16" descr="logoMTL">
          <a:extLst>
            <a:ext uri="{FF2B5EF4-FFF2-40B4-BE49-F238E27FC236}">
              <a16:creationId xmlns:a16="http://schemas.microsoft.com/office/drawing/2014/main" id="{00000000-0008-0000-1800-00001CD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57117" name="Picture 9" descr="C:\WINDOWS\TEMP\~0003946.gif">
          <a:extLst>
            <a:ext uri="{FF2B5EF4-FFF2-40B4-BE49-F238E27FC236}">
              <a16:creationId xmlns:a16="http://schemas.microsoft.com/office/drawing/2014/main" id="{00000000-0008-0000-1800-00001DDF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57118" name="Picture 9" descr="C:\WINDOWS\TEMP\~0003946.gif">
          <a:extLst>
            <a:ext uri="{FF2B5EF4-FFF2-40B4-BE49-F238E27FC236}">
              <a16:creationId xmlns:a16="http://schemas.microsoft.com/office/drawing/2014/main" id="{00000000-0008-0000-1800-00001EDF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57119" name="Picture 9" descr="C:\WINDOWS\TEMP\~0003946.gif">
          <a:extLst>
            <a:ext uri="{FF2B5EF4-FFF2-40B4-BE49-F238E27FC236}">
              <a16:creationId xmlns:a16="http://schemas.microsoft.com/office/drawing/2014/main" id="{00000000-0008-0000-1800-00001FDF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57120" name="Picture 9" descr="C:\WINDOWS\TEMP\~0003946.gif">
          <a:extLst>
            <a:ext uri="{FF2B5EF4-FFF2-40B4-BE49-F238E27FC236}">
              <a16:creationId xmlns:a16="http://schemas.microsoft.com/office/drawing/2014/main" id="{00000000-0008-0000-1800-000020DF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58961" name="Picture 1" descr="C:\WINDOWS\TEMP\Symbol.gif">
          <a:extLst>
            <a:ext uri="{FF2B5EF4-FFF2-40B4-BE49-F238E27FC236}">
              <a16:creationId xmlns:a16="http://schemas.microsoft.com/office/drawing/2014/main" id="{00000000-0008-0000-1900-000051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8962" name="Picture 2" descr="C:\WINDOWS\TEMP\Symbol.gif">
          <a:extLst>
            <a:ext uri="{FF2B5EF4-FFF2-40B4-BE49-F238E27FC236}">
              <a16:creationId xmlns:a16="http://schemas.microsoft.com/office/drawing/2014/main" id="{00000000-0008-0000-1900-000052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8963" name="Picture 3" descr="C:\WINDOWS\TEMP\Symbol.gif">
          <a:extLst>
            <a:ext uri="{FF2B5EF4-FFF2-40B4-BE49-F238E27FC236}">
              <a16:creationId xmlns:a16="http://schemas.microsoft.com/office/drawing/2014/main" id="{00000000-0008-0000-1900-000053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8964" name="Picture 4" descr="C:\WINDOWS\TEMP\Symbol.gif">
          <a:extLst>
            <a:ext uri="{FF2B5EF4-FFF2-40B4-BE49-F238E27FC236}">
              <a16:creationId xmlns:a16="http://schemas.microsoft.com/office/drawing/2014/main" id="{00000000-0008-0000-1900-000054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58965" name="Picture 5" descr="C:\WINDOWS\TEMP\~0003946.gif">
          <a:extLst>
            <a:ext uri="{FF2B5EF4-FFF2-40B4-BE49-F238E27FC236}">
              <a16:creationId xmlns:a16="http://schemas.microsoft.com/office/drawing/2014/main" id="{00000000-0008-0000-1900-000055E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58966" name="Picture 6" descr="C:\WINDOWS\TEMP\~0003946.gif">
          <a:extLst>
            <a:ext uri="{FF2B5EF4-FFF2-40B4-BE49-F238E27FC236}">
              <a16:creationId xmlns:a16="http://schemas.microsoft.com/office/drawing/2014/main" id="{00000000-0008-0000-1900-000056E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58967" name="Picture 7" descr="C:\WINDOWS\TEMP\~0003946.gif">
          <a:extLst>
            <a:ext uri="{FF2B5EF4-FFF2-40B4-BE49-F238E27FC236}">
              <a16:creationId xmlns:a16="http://schemas.microsoft.com/office/drawing/2014/main" id="{00000000-0008-0000-1900-000057E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8968" name="Picture 8" descr="C:\WINDOWS\TEMP\~0003946.gif">
          <a:extLst>
            <a:ext uri="{FF2B5EF4-FFF2-40B4-BE49-F238E27FC236}">
              <a16:creationId xmlns:a16="http://schemas.microsoft.com/office/drawing/2014/main" id="{00000000-0008-0000-1900-000058E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8969" name="Picture 13" descr="logoMTL">
          <a:extLst>
            <a:ext uri="{FF2B5EF4-FFF2-40B4-BE49-F238E27FC236}">
              <a16:creationId xmlns:a16="http://schemas.microsoft.com/office/drawing/2014/main" id="{00000000-0008-0000-1900-000059E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58970" name="Picture 14" descr="logoMTL">
          <a:extLst>
            <a:ext uri="{FF2B5EF4-FFF2-40B4-BE49-F238E27FC236}">
              <a16:creationId xmlns:a16="http://schemas.microsoft.com/office/drawing/2014/main" id="{00000000-0008-0000-1900-00005AE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58971" name="Picture 15" descr="logoMTL">
          <a:extLst>
            <a:ext uri="{FF2B5EF4-FFF2-40B4-BE49-F238E27FC236}">
              <a16:creationId xmlns:a16="http://schemas.microsoft.com/office/drawing/2014/main" id="{00000000-0008-0000-1900-00005BE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58972" name="Picture 16" descr="logoMTL">
          <a:extLst>
            <a:ext uri="{FF2B5EF4-FFF2-40B4-BE49-F238E27FC236}">
              <a16:creationId xmlns:a16="http://schemas.microsoft.com/office/drawing/2014/main" id="{00000000-0008-0000-1900-00005CE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58973" name="Picture 9" descr="C:\WINDOWS\TEMP\~0003946.gif">
          <a:extLst>
            <a:ext uri="{FF2B5EF4-FFF2-40B4-BE49-F238E27FC236}">
              <a16:creationId xmlns:a16="http://schemas.microsoft.com/office/drawing/2014/main" id="{00000000-0008-0000-1900-00005DE6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195</xdr:row>
      <xdr:rowOff>0</xdr:rowOff>
    </xdr:from>
    <xdr:to>
      <xdr:col>20</xdr:col>
      <xdr:colOff>800100</xdr:colOff>
      <xdr:row>195</xdr:row>
      <xdr:rowOff>228600</xdr:rowOff>
    </xdr:to>
    <xdr:pic>
      <xdr:nvPicPr>
        <xdr:cNvPr id="58974" name="Picture 9" descr="C:\WINDOWS\TEMP\~0003946.gif">
          <a:extLst>
            <a:ext uri="{FF2B5EF4-FFF2-40B4-BE49-F238E27FC236}">
              <a16:creationId xmlns:a16="http://schemas.microsoft.com/office/drawing/2014/main" id="{00000000-0008-0000-1900-00005EE6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58975" name="Picture 9" descr="C:\WINDOWS\TEMP\~0003946.gif">
          <a:extLst>
            <a:ext uri="{FF2B5EF4-FFF2-40B4-BE49-F238E27FC236}">
              <a16:creationId xmlns:a16="http://schemas.microsoft.com/office/drawing/2014/main" id="{00000000-0008-0000-1900-00005FE6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58976" name="Picture 9" descr="C:\WINDOWS\TEMP\~0003946.gif">
          <a:extLst>
            <a:ext uri="{FF2B5EF4-FFF2-40B4-BE49-F238E27FC236}">
              <a16:creationId xmlns:a16="http://schemas.microsoft.com/office/drawing/2014/main" id="{00000000-0008-0000-1900-000060E6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60817" name="Picture 1" descr="C:\WINDOWS\TEMP\Symbol.gif">
          <a:extLst>
            <a:ext uri="{FF2B5EF4-FFF2-40B4-BE49-F238E27FC236}">
              <a16:creationId xmlns:a16="http://schemas.microsoft.com/office/drawing/2014/main" id="{00000000-0008-0000-1A00-000091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60818" name="Picture 2" descr="C:\WINDOWS\TEMP\Symbol.gif">
          <a:extLst>
            <a:ext uri="{FF2B5EF4-FFF2-40B4-BE49-F238E27FC236}">
              <a16:creationId xmlns:a16="http://schemas.microsoft.com/office/drawing/2014/main" id="{00000000-0008-0000-1A00-000092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0819" name="Picture 3" descr="C:\WINDOWS\TEMP\Symbol.gif">
          <a:extLst>
            <a:ext uri="{FF2B5EF4-FFF2-40B4-BE49-F238E27FC236}">
              <a16:creationId xmlns:a16="http://schemas.microsoft.com/office/drawing/2014/main" id="{00000000-0008-0000-1A00-000093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60820" name="Picture 4" descr="C:\WINDOWS\TEMP\Symbol.gif">
          <a:extLst>
            <a:ext uri="{FF2B5EF4-FFF2-40B4-BE49-F238E27FC236}">
              <a16:creationId xmlns:a16="http://schemas.microsoft.com/office/drawing/2014/main" id="{00000000-0008-0000-1A00-000094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60821" name="Picture 5" descr="C:\WINDOWS\TEMP\~0003946.gif">
          <a:extLst>
            <a:ext uri="{FF2B5EF4-FFF2-40B4-BE49-F238E27FC236}">
              <a16:creationId xmlns:a16="http://schemas.microsoft.com/office/drawing/2014/main" id="{00000000-0008-0000-1A00-000095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60822" name="Picture 6" descr="C:\WINDOWS\TEMP\~0003946.gif">
          <a:extLst>
            <a:ext uri="{FF2B5EF4-FFF2-40B4-BE49-F238E27FC236}">
              <a16:creationId xmlns:a16="http://schemas.microsoft.com/office/drawing/2014/main" id="{00000000-0008-0000-1A00-000096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60823" name="Picture 7" descr="C:\WINDOWS\TEMP\~0003946.gif">
          <a:extLst>
            <a:ext uri="{FF2B5EF4-FFF2-40B4-BE49-F238E27FC236}">
              <a16:creationId xmlns:a16="http://schemas.microsoft.com/office/drawing/2014/main" id="{00000000-0008-0000-1A00-000097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0824" name="Picture 8" descr="C:\WINDOWS\TEMP\~0003946.gif">
          <a:extLst>
            <a:ext uri="{FF2B5EF4-FFF2-40B4-BE49-F238E27FC236}">
              <a16:creationId xmlns:a16="http://schemas.microsoft.com/office/drawing/2014/main" id="{00000000-0008-0000-1A00-000098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0825" name="Picture 13" descr="logoMTL">
          <a:extLst>
            <a:ext uri="{FF2B5EF4-FFF2-40B4-BE49-F238E27FC236}">
              <a16:creationId xmlns:a16="http://schemas.microsoft.com/office/drawing/2014/main" id="{00000000-0008-0000-1A00-000099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60826" name="Picture 14" descr="logoMTL">
          <a:extLst>
            <a:ext uri="{FF2B5EF4-FFF2-40B4-BE49-F238E27FC236}">
              <a16:creationId xmlns:a16="http://schemas.microsoft.com/office/drawing/2014/main" id="{00000000-0008-0000-1A00-00009A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60827" name="Picture 15" descr="logoMTL">
          <a:extLst>
            <a:ext uri="{FF2B5EF4-FFF2-40B4-BE49-F238E27FC236}">
              <a16:creationId xmlns:a16="http://schemas.microsoft.com/office/drawing/2014/main" id="{00000000-0008-0000-1A00-00009B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60828" name="Picture 16" descr="logoMTL">
          <a:extLst>
            <a:ext uri="{FF2B5EF4-FFF2-40B4-BE49-F238E27FC236}">
              <a16:creationId xmlns:a16="http://schemas.microsoft.com/office/drawing/2014/main" id="{00000000-0008-0000-1A00-00009C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291</xdr:row>
      <xdr:rowOff>0</xdr:rowOff>
    </xdr:from>
    <xdr:to>
      <xdr:col>20</xdr:col>
      <xdr:colOff>800100</xdr:colOff>
      <xdr:row>291</xdr:row>
      <xdr:rowOff>228600</xdr:rowOff>
    </xdr:to>
    <xdr:pic>
      <xdr:nvPicPr>
        <xdr:cNvPr id="60829" name="Picture 9" descr="C:\WINDOWS\TEMP\~0003946.gif">
          <a:extLst>
            <a:ext uri="{FF2B5EF4-FFF2-40B4-BE49-F238E27FC236}">
              <a16:creationId xmlns:a16="http://schemas.microsoft.com/office/drawing/2014/main" id="{00000000-0008-0000-1A00-00009DED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8921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66675</xdr:colOff>
      <xdr:row>194</xdr:row>
      <xdr:rowOff>95250</xdr:rowOff>
    </xdr:from>
    <xdr:to>
      <xdr:col>20</xdr:col>
      <xdr:colOff>866775</xdr:colOff>
      <xdr:row>195</xdr:row>
      <xdr:rowOff>123825</xdr:rowOff>
    </xdr:to>
    <xdr:pic>
      <xdr:nvPicPr>
        <xdr:cNvPr id="60830" name="Picture 9" descr="C:\WINDOWS\TEMP\~0003946.gif">
          <a:extLst>
            <a:ext uri="{FF2B5EF4-FFF2-40B4-BE49-F238E27FC236}">
              <a16:creationId xmlns:a16="http://schemas.microsoft.com/office/drawing/2014/main" id="{00000000-0008-0000-1A00-00009EED0000}"/>
            </a:ext>
          </a:extLst>
        </xdr:cNvPr>
        <xdr:cNvPicPr>
          <a:picLocks noChangeAspect="1" noChangeArrowheads="1"/>
        </xdr:cNvPicPr>
      </xdr:nvPicPr>
      <xdr:blipFill>
        <a:blip xmlns:r="http://schemas.openxmlformats.org/officeDocument/2006/relationships" r:embed="rId5" r:link="rId2" cstate="print">
          <a:extLst>
            <a:ext uri="{28A0092B-C50C-407E-A947-70E740481C1C}">
              <a14:useLocalDpi xmlns:a14="http://schemas.microsoft.com/office/drawing/2010/main" val="0"/>
            </a:ext>
          </a:extLst>
        </a:blip>
        <a:srcRect/>
        <a:stretch>
          <a:fillRect/>
        </a:stretch>
      </xdr:blipFill>
      <xdr:spPr bwMode="auto">
        <a:xfrm>
          <a:off x="22640925" y="3952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38100</xdr:colOff>
      <xdr:row>133</xdr:row>
      <xdr:rowOff>123825</xdr:rowOff>
    </xdr:from>
    <xdr:to>
      <xdr:col>20</xdr:col>
      <xdr:colOff>838200</xdr:colOff>
      <xdr:row>134</xdr:row>
      <xdr:rowOff>152400</xdr:rowOff>
    </xdr:to>
    <xdr:pic>
      <xdr:nvPicPr>
        <xdr:cNvPr id="60831" name="Picture 9" descr="C:\WINDOWS\TEMP\~0003946.gif">
          <a:extLst>
            <a:ext uri="{FF2B5EF4-FFF2-40B4-BE49-F238E27FC236}">
              <a16:creationId xmlns:a16="http://schemas.microsoft.com/office/drawing/2014/main" id="{00000000-0008-0000-1A00-00009FED0000}"/>
            </a:ext>
          </a:extLst>
        </xdr:cNvPr>
        <xdr:cNvPicPr>
          <a:picLocks noChangeAspect="1" noChangeArrowheads="1"/>
        </xdr:cNvPicPr>
      </xdr:nvPicPr>
      <xdr:blipFill>
        <a:blip xmlns:r="http://schemas.openxmlformats.org/officeDocument/2006/relationships" r:embed="rId5" r:link="rId2" cstate="print">
          <a:extLst>
            <a:ext uri="{28A0092B-C50C-407E-A947-70E740481C1C}">
              <a14:useLocalDpi xmlns:a14="http://schemas.microsoft.com/office/drawing/2010/main" val="0"/>
            </a:ext>
          </a:extLst>
        </a:blip>
        <a:srcRect/>
        <a:stretch>
          <a:fillRect/>
        </a:stretch>
      </xdr:blipFill>
      <xdr:spPr bwMode="auto">
        <a:xfrm>
          <a:off x="2261235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38100</xdr:colOff>
      <xdr:row>62</xdr:row>
      <xdr:rowOff>85725</xdr:rowOff>
    </xdr:from>
    <xdr:to>
      <xdr:col>20</xdr:col>
      <xdr:colOff>838200</xdr:colOff>
      <xdr:row>63</xdr:row>
      <xdr:rowOff>114300</xdr:rowOff>
    </xdr:to>
    <xdr:pic>
      <xdr:nvPicPr>
        <xdr:cNvPr id="60832" name="Picture 9" descr="C:\WINDOWS\TEMP\~0003946.gif">
          <a:extLst>
            <a:ext uri="{FF2B5EF4-FFF2-40B4-BE49-F238E27FC236}">
              <a16:creationId xmlns:a16="http://schemas.microsoft.com/office/drawing/2014/main" id="{00000000-0008-0000-1A00-0000A0ED0000}"/>
            </a:ext>
          </a:extLst>
        </xdr:cNvPr>
        <xdr:cNvPicPr>
          <a:picLocks noChangeAspect="1" noChangeArrowheads="1"/>
        </xdr:cNvPicPr>
      </xdr:nvPicPr>
      <xdr:blipFill>
        <a:blip xmlns:r="http://schemas.openxmlformats.org/officeDocument/2006/relationships" r:embed="rId5" r:link="rId2" cstate="print">
          <a:extLst>
            <a:ext uri="{28A0092B-C50C-407E-A947-70E740481C1C}">
              <a14:useLocalDpi xmlns:a14="http://schemas.microsoft.com/office/drawing/2010/main" val="0"/>
            </a:ext>
          </a:extLst>
        </a:blip>
        <a:srcRect/>
        <a:stretch>
          <a:fillRect/>
        </a:stretch>
      </xdr:blipFill>
      <xdr:spPr bwMode="auto">
        <a:xfrm>
          <a:off x="22612350" y="12592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5121" name="Picture 1" descr="C:\WINDOWS\TEMP\Symbol.gif">
          <a:extLst>
            <a:ext uri="{FF2B5EF4-FFF2-40B4-BE49-F238E27FC236}">
              <a16:creationId xmlns:a16="http://schemas.microsoft.com/office/drawing/2014/main" id="{00000000-0008-0000-1B00-0000814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85122" name="Picture 2" descr="C:\WINDOWS\TEMP\Symbol.gif">
          <a:extLst>
            <a:ext uri="{FF2B5EF4-FFF2-40B4-BE49-F238E27FC236}">
              <a16:creationId xmlns:a16="http://schemas.microsoft.com/office/drawing/2014/main" id="{00000000-0008-0000-1B00-0000824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85123" name="Picture 3" descr="C:\WINDOWS\TEMP\Symbol.gif">
          <a:extLst>
            <a:ext uri="{FF2B5EF4-FFF2-40B4-BE49-F238E27FC236}">
              <a16:creationId xmlns:a16="http://schemas.microsoft.com/office/drawing/2014/main" id="{00000000-0008-0000-1B00-0000834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85124" name="Picture 4" descr="C:\WINDOWS\TEMP\Symbol.gif">
          <a:extLst>
            <a:ext uri="{FF2B5EF4-FFF2-40B4-BE49-F238E27FC236}">
              <a16:creationId xmlns:a16="http://schemas.microsoft.com/office/drawing/2014/main" id="{00000000-0008-0000-1B00-0000844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85125" name="Picture 5" descr="C:\WINDOWS\TEMP\~0003946.gif">
          <a:extLst>
            <a:ext uri="{FF2B5EF4-FFF2-40B4-BE49-F238E27FC236}">
              <a16:creationId xmlns:a16="http://schemas.microsoft.com/office/drawing/2014/main" id="{00000000-0008-0000-1B00-0000854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85126" name="Picture 6" descr="C:\WINDOWS\TEMP\~0003946.gif">
          <a:extLst>
            <a:ext uri="{FF2B5EF4-FFF2-40B4-BE49-F238E27FC236}">
              <a16:creationId xmlns:a16="http://schemas.microsoft.com/office/drawing/2014/main" id="{00000000-0008-0000-1B00-0000864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5127" name="Picture 7" descr="C:\WINDOWS\TEMP\~0003946.gif">
          <a:extLst>
            <a:ext uri="{FF2B5EF4-FFF2-40B4-BE49-F238E27FC236}">
              <a16:creationId xmlns:a16="http://schemas.microsoft.com/office/drawing/2014/main" id="{00000000-0008-0000-1B00-0000874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5128" name="Picture 8" descr="C:\WINDOWS\TEMP\~0003946.gif">
          <a:extLst>
            <a:ext uri="{FF2B5EF4-FFF2-40B4-BE49-F238E27FC236}">
              <a16:creationId xmlns:a16="http://schemas.microsoft.com/office/drawing/2014/main" id="{00000000-0008-0000-1B00-0000884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5129" name="Picture 13" descr="logoMTL">
          <a:extLst>
            <a:ext uri="{FF2B5EF4-FFF2-40B4-BE49-F238E27FC236}">
              <a16:creationId xmlns:a16="http://schemas.microsoft.com/office/drawing/2014/main" id="{00000000-0008-0000-1B00-0000894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85130" name="Picture 14" descr="logoMTL">
          <a:extLst>
            <a:ext uri="{FF2B5EF4-FFF2-40B4-BE49-F238E27FC236}">
              <a16:creationId xmlns:a16="http://schemas.microsoft.com/office/drawing/2014/main" id="{00000000-0008-0000-1B00-00008A4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85131" name="Picture 15" descr="logoMTL">
          <a:extLst>
            <a:ext uri="{FF2B5EF4-FFF2-40B4-BE49-F238E27FC236}">
              <a16:creationId xmlns:a16="http://schemas.microsoft.com/office/drawing/2014/main" id="{00000000-0008-0000-1B00-00008B4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85132" name="Picture 16" descr="logoMTL">
          <a:extLst>
            <a:ext uri="{FF2B5EF4-FFF2-40B4-BE49-F238E27FC236}">
              <a16:creationId xmlns:a16="http://schemas.microsoft.com/office/drawing/2014/main" id="{00000000-0008-0000-1B00-00008C4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290</xdr:row>
      <xdr:rowOff>95250</xdr:rowOff>
    </xdr:from>
    <xdr:to>
      <xdr:col>20</xdr:col>
      <xdr:colOff>885825</xdr:colOff>
      <xdr:row>291</xdr:row>
      <xdr:rowOff>123825</xdr:rowOff>
    </xdr:to>
    <xdr:pic>
      <xdr:nvPicPr>
        <xdr:cNvPr id="85133" name="Picture 9" descr="C:\WINDOWS\TEMP\~0003946.gif">
          <a:extLst>
            <a:ext uri="{FF2B5EF4-FFF2-40B4-BE49-F238E27FC236}">
              <a16:creationId xmlns:a16="http://schemas.microsoft.com/office/drawing/2014/main" id="{00000000-0008-0000-1B00-00008D4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59975" y="588168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38100</xdr:colOff>
      <xdr:row>194</xdr:row>
      <xdr:rowOff>95250</xdr:rowOff>
    </xdr:from>
    <xdr:to>
      <xdr:col>20</xdr:col>
      <xdr:colOff>838200</xdr:colOff>
      <xdr:row>195</xdr:row>
      <xdr:rowOff>123825</xdr:rowOff>
    </xdr:to>
    <xdr:pic>
      <xdr:nvPicPr>
        <xdr:cNvPr id="85134" name="Picture 9" descr="C:\WINDOWS\TEMP\~0003946.gif">
          <a:extLst>
            <a:ext uri="{FF2B5EF4-FFF2-40B4-BE49-F238E27FC236}">
              <a16:creationId xmlns:a16="http://schemas.microsoft.com/office/drawing/2014/main" id="{00000000-0008-0000-1B00-00008E4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12350" y="3952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134</xdr:row>
      <xdr:rowOff>0</xdr:rowOff>
    </xdr:from>
    <xdr:to>
      <xdr:col>20</xdr:col>
      <xdr:colOff>800100</xdr:colOff>
      <xdr:row>134</xdr:row>
      <xdr:rowOff>228600</xdr:rowOff>
    </xdr:to>
    <xdr:pic>
      <xdr:nvPicPr>
        <xdr:cNvPr id="85135" name="Picture 9" descr="C:\WINDOWS\TEMP\~0003946.gif">
          <a:extLst>
            <a:ext uri="{FF2B5EF4-FFF2-40B4-BE49-F238E27FC236}">
              <a16:creationId xmlns:a16="http://schemas.microsoft.com/office/drawing/2014/main" id="{00000000-0008-0000-1B00-00008F4C0100}"/>
            </a:ext>
          </a:extLst>
        </xdr:cNvPr>
        <xdr:cNvPicPr>
          <a:picLocks noChangeAspect="1" noChangeArrowheads="1"/>
        </xdr:cNvPicPr>
      </xdr:nvPicPr>
      <xdr:blipFill>
        <a:blip xmlns:r="http://schemas.openxmlformats.org/officeDocument/2006/relationships" r:embed="rId5" r:link="rId2" cstate="print">
          <a:extLst>
            <a:ext uri="{28A0092B-C50C-407E-A947-70E740481C1C}">
              <a14:useLocalDpi xmlns:a14="http://schemas.microsoft.com/office/drawing/2010/main" val="0"/>
            </a:ext>
          </a:extLst>
        </a:blip>
        <a:srcRect/>
        <a:stretch>
          <a:fillRect/>
        </a:stretch>
      </xdr:blipFill>
      <xdr:spPr bwMode="auto">
        <a:xfrm>
          <a:off x="22574250" y="2735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38100</xdr:colOff>
      <xdr:row>62</xdr:row>
      <xdr:rowOff>123825</xdr:rowOff>
    </xdr:from>
    <xdr:to>
      <xdr:col>20</xdr:col>
      <xdr:colOff>838200</xdr:colOff>
      <xdr:row>63</xdr:row>
      <xdr:rowOff>152400</xdr:rowOff>
    </xdr:to>
    <xdr:pic>
      <xdr:nvPicPr>
        <xdr:cNvPr id="85136" name="Picture 9" descr="C:\WINDOWS\TEMP\~0003946.gif">
          <a:extLst>
            <a:ext uri="{FF2B5EF4-FFF2-40B4-BE49-F238E27FC236}">
              <a16:creationId xmlns:a16="http://schemas.microsoft.com/office/drawing/2014/main" id="{00000000-0008-0000-1B00-0000904C01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12350"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56225" name="Picture 1" descr="C:\WINDOWS\TEMP\Symbol.gif">
          <a:extLst>
            <a:ext uri="{FF2B5EF4-FFF2-40B4-BE49-F238E27FC236}">
              <a16:creationId xmlns:a16="http://schemas.microsoft.com/office/drawing/2014/main" id="{00000000-0008-0000-1C00-0000A1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6226" name="Picture 2" descr="C:\WINDOWS\TEMP\Symbol.gif">
          <a:extLst>
            <a:ext uri="{FF2B5EF4-FFF2-40B4-BE49-F238E27FC236}">
              <a16:creationId xmlns:a16="http://schemas.microsoft.com/office/drawing/2014/main" id="{00000000-0008-0000-1C00-0000A2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56227" name="Picture 3" descr="C:\WINDOWS\TEMP\Symbol.gif">
          <a:extLst>
            <a:ext uri="{FF2B5EF4-FFF2-40B4-BE49-F238E27FC236}">
              <a16:creationId xmlns:a16="http://schemas.microsoft.com/office/drawing/2014/main" id="{00000000-0008-0000-1C00-0000A3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6228" name="Picture 4" descr="C:\WINDOWS\TEMP\Symbol.gif">
          <a:extLst>
            <a:ext uri="{FF2B5EF4-FFF2-40B4-BE49-F238E27FC236}">
              <a16:creationId xmlns:a16="http://schemas.microsoft.com/office/drawing/2014/main" id="{00000000-0008-0000-1C00-0000A4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56229" name="Picture 5" descr="C:\WINDOWS\TEMP\~0003946.gif">
          <a:extLst>
            <a:ext uri="{FF2B5EF4-FFF2-40B4-BE49-F238E27FC236}">
              <a16:creationId xmlns:a16="http://schemas.microsoft.com/office/drawing/2014/main" id="{00000000-0008-0000-1C00-0000A5D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56230" name="Picture 6" descr="C:\WINDOWS\TEMP\~0003946.gif">
          <a:extLst>
            <a:ext uri="{FF2B5EF4-FFF2-40B4-BE49-F238E27FC236}">
              <a16:creationId xmlns:a16="http://schemas.microsoft.com/office/drawing/2014/main" id="{00000000-0008-0000-1C00-0000A6D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56231" name="Picture 7" descr="C:\WINDOWS\TEMP\~0003946.gif">
          <a:extLst>
            <a:ext uri="{FF2B5EF4-FFF2-40B4-BE49-F238E27FC236}">
              <a16:creationId xmlns:a16="http://schemas.microsoft.com/office/drawing/2014/main" id="{00000000-0008-0000-1C00-0000A7D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6232" name="Picture 8" descr="C:\WINDOWS\TEMP\~0003946.gif">
          <a:extLst>
            <a:ext uri="{FF2B5EF4-FFF2-40B4-BE49-F238E27FC236}">
              <a16:creationId xmlns:a16="http://schemas.microsoft.com/office/drawing/2014/main" id="{00000000-0008-0000-1C00-0000A8D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6233" name="Picture 13" descr="logoMTL">
          <a:extLst>
            <a:ext uri="{FF2B5EF4-FFF2-40B4-BE49-F238E27FC236}">
              <a16:creationId xmlns:a16="http://schemas.microsoft.com/office/drawing/2014/main" id="{00000000-0008-0000-1C00-0000A9D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56234" name="Picture 14" descr="logoMTL">
          <a:extLst>
            <a:ext uri="{FF2B5EF4-FFF2-40B4-BE49-F238E27FC236}">
              <a16:creationId xmlns:a16="http://schemas.microsoft.com/office/drawing/2014/main" id="{00000000-0008-0000-1C00-0000AAD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56235" name="Picture 15" descr="logoMTL">
          <a:extLst>
            <a:ext uri="{FF2B5EF4-FFF2-40B4-BE49-F238E27FC236}">
              <a16:creationId xmlns:a16="http://schemas.microsoft.com/office/drawing/2014/main" id="{00000000-0008-0000-1C00-0000ABD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56236" name="Picture 16" descr="logoMTL">
          <a:extLst>
            <a:ext uri="{FF2B5EF4-FFF2-40B4-BE49-F238E27FC236}">
              <a16:creationId xmlns:a16="http://schemas.microsoft.com/office/drawing/2014/main" id="{00000000-0008-0000-1C00-0000ACD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292</xdr:row>
      <xdr:rowOff>0</xdr:rowOff>
    </xdr:from>
    <xdr:to>
      <xdr:col>20</xdr:col>
      <xdr:colOff>800100</xdr:colOff>
      <xdr:row>292</xdr:row>
      <xdr:rowOff>228600</xdr:rowOff>
    </xdr:to>
    <xdr:pic>
      <xdr:nvPicPr>
        <xdr:cNvPr id="56237" name="Picture 9" descr="C:\WINDOWS\TEMP\~0003946.gif">
          <a:extLst>
            <a:ext uri="{FF2B5EF4-FFF2-40B4-BE49-F238E27FC236}">
              <a16:creationId xmlns:a16="http://schemas.microsoft.com/office/drawing/2014/main" id="{00000000-0008-0000-1C00-0000ADDB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59121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196</xdr:row>
      <xdr:rowOff>0</xdr:rowOff>
    </xdr:from>
    <xdr:to>
      <xdr:col>20</xdr:col>
      <xdr:colOff>800100</xdr:colOff>
      <xdr:row>196</xdr:row>
      <xdr:rowOff>228600</xdr:rowOff>
    </xdr:to>
    <xdr:pic>
      <xdr:nvPicPr>
        <xdr:cNvPr id="56238" name="Picture 9" descr="C:\WINDOWS\TEMP\~0003946.gif">
          <a:extLst>
            <a:ext uri="{FF2B5EF4-FFF2-40B4-BE49-F238E27FC236}">
              <a16:creationId xmlns:a16="http://schemas.microsoft.com/office/drawing/2014/main" id="{00000000-0008-0000-1C00-0000AEDB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39833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135</xdr:row>
      <xdr:rowOff>0</xdr:rowOff>
    </xdr:from>
    <xdr:to>
      <xdr:col>20</xdr:col>
      <xdr:colOff>800100</xdr:colOff>
      <xdr:row>135</xdr:row>
      <xdr:rowOff>228600</xdr:rowOff>
    </xdr:to>
    <xdr:pic>
      <xdr:nvPicPr>
        <xdr:cNvPr id="56239" name="Picture 9" descr="C:\WINDOWS\TEMP\~0003946.gif">
          <a:extLst>
            <a:ext uri="{FF2B5EF4-FFF2-40B4-BE49-F238E27FC236}">
              <a16:creationId xmlns:a16="http://schemas.microsoft.com/office/drawing/2014/main" id="{00000000-0008-0000-1C00-0000AFDB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63</xdr:row>
      <xdr:rowOff>0</xdr:rowOff>
    </xdr:from>
    <xdr:to>
      <xdr:col>20</xdr:col>
      <xdr:colOff>800100</xdr:colOff>
      <xdr:row>63</xdr:row>
      <xdr:rowOff>228600</xdr:rowOff>
    </xdr:to>
    <xdr:pic>
      <xdr:nvPicPr>
        <xdr:cNvPr id="56240" name="Picture 9" descr="C:\WINDOWS\TEMP\~0003946.gif">
          <a:extLst>
            <a:ext uri="{FF2B5EF4-FFF2-40B4-BE49-F238E27FC236}">
              <a16:creationId xmlns:a16="http://schemas.microsoft.com/office/drawing/2014/main" id="{00000000-0008-0000-1C00-0000B0DB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574250" y="1270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3714" name="Picture 1" descr="C:\WINDOWS\TEMP\Symbol.gif">
          <a:extLst>
            <a:ext uri="{FF2B5EF4-FFF2-40B4-BE49-F238E27FC236}">
              <a16:creationId xmlns:a16="http://schemas.microsoft.com/office/drawing/2014/main" id="{00000000-0008-0000-0200-0000E2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63715" name="Picture 2" descr="C:\WINDOWS\TEMP\Symbol.gif">
          <a:extLst>
            <a:ext uri="{FF2B5EF4-FFF2-40B4-BE49-F238E27FC236}">
              <a16:creationId xmlns:a16="http://schemas.microsoft.com/office/drawing/2014/main" id="{00000000-0008-0000-0200-0000E3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63716" name="Picture 3" descr="C:\WINDOWS\TEMP\Symbol.gif">
          <a:extLst>
            <a:ext uri="{FF2B5EF4-FFF2-40B4-BE49-F238E27FC236}">
              <a16:creationId xmlns:a16="http://schemas.microsoft.com/office/drawing/2014/main" id="{00000000-0008-0000-0200-0000E4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3717" name="Picture 4" descr="C:\WINDOWS\TEMP\Symbol.gif">
          <a:extLst>
            <a:ext uri="{FF2B5EF4-FFF2-40B4-BE49-F238E27FC236}">
              <a16:creationId xmlns:a16="http://schemas.microsoft.com/office/drawing/2014/main" id="{00000000-0008-0000-0200-0000E5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63718" name="Picture 5" descr="C:\WINDOWS\TEMP\~0003946.gif">
          <a:extLst>
            <a:ext uri="{FF2B5EF4-FFF2-40B4-BE49-F238E27FC236}">
              <a16:creationId xmlns:a16="http://schemas.microsoft.com/office/drawing/2014/main" id="{00000000-0008-0000-0200-0000E6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63719" name="Picture 6" descr="C:\WINDOWS\TEMP\~0003946.gif">
          <a:extLst>
            <a:ext uri="{FF2B5EF4-FFF2-40B4-BE49-F238E27FC236}">
              <a16:creationId xmlns:a16="http://schemas.microsoft.com/office/drawing/2014/main" id="{00000000-0008-0000-0200-0000E7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63720" name="Picture 7" descr="C:\WINDOWS\TEMP\~0003946.gif">
          <a:extLst>
            <a:ext uri="{FF2B5EF4-FFF2-40B4-BE49-F238E27FC236}">
              <a16:creationId xmlns:a16="http://schemas.microsoft.com/office/drawing/2014/main" id="{00000000-0008-0000-0200-0000E8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3721" name="Picture 8" descr="C:\WINDOWS\TEMP\~0003946.gif">
          <a:extLst>
            <a:ext uri="{FF2B5EF4-FFF2-40B4-BE49-F238E27FC236}">
              <a16:creationId xmlns:a16="http://schemas.microsoft.com/office/drawing/2014/main" id="{00000000-0008-0000-0200-0000E9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3722" name="Picture 9" descr="C:\WINDOWS\TEMP\~0003946.gif">
          <a:extLst>
            <a:ext uri="{FF2B5EF4-FFF2-40B4-BE49-F238E27FC236}">
              <a16:creationId xmlns:a16="http://schemas.microsoft.com/office/drawing/2014/main" id="{00000000-0008-0000-0200-0000EA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63723" name="Picture 10" descr="C:\WINDOWS\TEMP\~0003946.gif">
          <a:extLst>
            <a:ext uri="{FF2B5EF4-FFF2-40B4-BE49-F238E27FC236}">
              <a16:creationId xmlns:a16="http://schemas.microsoft.com/office/drawing/2014/main" id="{00000000-0008-0000-0200-0000EB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63724" name="Picture 11" descr="C:\WINDOWS\TEMP\~0003946.gif">
          <a:extLst>
            <a:ext uri="{FF2B5EF4-FFF2-40B4-BE49-F238E27FC236}">
              <a16:creationId xmlns:a16="http://schemas.microsoft.com/office/drawing/2014/main" id="{00000000-0008-0000-0200-0000EC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63725" name="Picture 12" descr="C:\WINDOWS\TEMP\~0003946.gif">
          <a:extLst>
            <a:ext uri="{FF2B5EF4-FFF2-40B4-BE49-F238E27FC236}">
              <a16:creationId xmlns:a16="http://schemas.microsoft.com/office/drawing/2014/main" id="{00000000-0008-0000-0200-0000ED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3726" name="Picture 13" descr="logoMTL">
          <a:extLst>
            <a:ext uri="{FF2B5EF4-FFF2-40B4-BE49-F238E27FC236}">
              <a16:creationId xmlns:a16="http://schemas.microsoft.com/office/drawing/2014/main" id="{00000000-0008-0000-0200-0000EE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63727" name="Picture 14" descr="logoMTL">
          <a:extLst>
            <a:ext uri="{FF2B5EF4-FFF2-40B4-BE49-F238E27FC236}">
              <a16:creationId xmlns:a16="http://schemas.microsoft.com/office/drawing/2014/main" id="{00000000-0008-0000-0200-0000EF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63728" name="Picture 15" descr="logoMTL">
          <a:extLst>
            <a:ext uri="{FF2B5EF4-FFF2-40B4-BE49-F238E27FC236}">
              <a16:creationId xmlns:a16="http://schemas.microsoft.com/office/drawing/2014/main" id="{00000000-0008-0000-0200-0000F0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63729" name="Picture 16" descr="logoMTL">
          <a:extLst>
            <a:ext uri="{FF2B5EF4-FFF2-40B4-BE49-F238E27FC236}">
              <a16:creationId xmlns:a16="http://schemas.microsoft.com/office/drawing/2014/main" id="{00000000-0008-0000-0200-0000F1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58049" name="Picture 1" descr="C:\WINDOWS\TEMP\Symbol.gif">
          <a:extLst>
            <a:ext uri="{FF2B5EF4-FFF2-40B4-BE49-F238E27FC236}">
              <a16:creationId xmlns:a16="http://schemas.microsoft.com/office/drawing/2014/main" id="{00000000-0008-0000-1D00-0000C1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8050" name="Picture 2" descr="C:\WINDOWS\TEMP\Symbol.gif">
          <a:extLst>
            <a:ext uri="{FF2B5EF4-FFF2-40B4-BE49-F238E27FC236}">
              <a16:creationId xmlns:a16="http://schemas.microsoft.com/office/drawing/2014/main" id="{00000000-0008-0000-1D00-0000C2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58051" name="Picture 3" descr="C:\WINDOWS\TEMP\Symbol.gif">
          <a:extLst>
            <a:ext uri="{FF2B5EF4-FFF2-40B4-BE49-F238E27FC236}">
              <a16:creationId xmlns:a16="http://schemas.microsoft.com/office/drawing/2014/main" id="{00000000-0008-0000-1D00-0000C3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8052" name="Picture 4" descr="C:\WINDOWS\TEMP\Symbol.gif">
          <a:extLst>
            <a:ext uri="{FF2B5EF4-FFF2-40B4-BE49-F238E27FC236}">
              <a16:creationId xmlns:a16="http://schemas.microsoft.com/office/drawing/2014/main" id="{00000000-0008-0000-1D00-0000C4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58053" name="Picture 5" descr="C:\WINDOWS\TEMP\~0003946.gif">
          <a:extLst>
            <a:ext uri="{FF2B5EF4-FFF2-40B4-BE49-F238E27FC236}">
              <a16:creationId xmlns:a16="http://schemas.microsoft.com/office/drawing/2014/main" id="{00000000-0008-0000-1D00-0000C5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58054" name="Picture 6" descr="C:\WINDOWS\TEMP\~0003946.gif">
          <a:extLst>
            <a:ext uri="{FF2B5EF4-FFF2-40B4-BE49-F238E27FC236}">
              <a16:creationId xmlns:a16="http://schemas.microsoft.com/office/drawing/2014/main" id="{00000000-0008-0000-1D00-0000C6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58055" name="Picture 7" descr="C:\WINDOWS\TEMP\~0003946.gif">
          <a:extLst>
            <a:ext uri="{FF2B5EF4-FFF2-40B4-BE49-F238E27FC236}">
              <a16:creationId xmlns:a16="http://schemas.microsoft.com/office/drawing/2014/main" id="{00000000-0008-0000-1D00-0000C7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8056" name="Picture 8" descr="C:\WINDOWS\TEMP\~0003946.gif">
          <a:extLst>
            <a:ext uri="{FF2B5EF4-FFF2-40B4-BE49-F238E27FC236}">
              <a16:creationId xmlns:a16="http://schemas.microsoft.com/office/drawing/2014/main" id="{00000000-0008-0000-1D00-0000C8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8057" name="Picture 13" descr="logoMTL">
          <a:extLst>
            <a:ext uri="{FF2B5EF4-FFF2-40B4-BE49-F238E27FC236}">
              <a16:creationId xmlns:a16="http://schemas.microsoft.com/office/drawing/2014/main" id="{00000000-0008-0000-1D00-0000C9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58058" name="Picture 14" descr="logoMTL">
          <a:extLst>
            <a:ext uri="{FF2B5EF4-FFF2-40B4-BE49-F238E27FC236}">
              <a16:creationId xmlns:a16="http://schemas.microsoft.com/office/drawing/2014/main" id="{00000000-0008-0000-1D00-0000CA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58059" name="Picture 15" descr="logoMTL">
          <a:extLst>
            <a:ext uri="{FF2B5EF4-FFF2-40B4-BE49-F238E27FC236}">
              <a16:creationId xmlns:a16="http://schemas.microsoft.com/office/drawing/2014/main" id="{00000000-0008-0000-1D00-0000CB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58060" name="Picture 16" descr="logoMTL">
          <a:extLst>
            <a:ext uri="{FF2B5EF4-FFF2-40B4-BE49-F238E27FC236}">
              <a16:creationId xmlns:a16="http://schemas.microsoft.com/office/drawing/2014/main" id="{00000000-0008-0000-1D00-0000CC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123825</xdr:colOff>
      <xdr:row>62</xdr:row>
      <xdr:rowOff>123825</xdr:rowOff>
    </xdr:from>
    <xdr:to>
      <xdr:col>20</xdr:col>
      <xdr:colOff>923925</xdr:colOff>
      <xdr:row>63</xdr:row>
      <xdr:rowOff>152400</xdr:rowOff>
    </xdr:to>
    <xdr:pic>
      <xdr:nvPicPr>
        <xdr:cNvPr id="58061" name="Picture 9" descr="C:\WINDOWS\TEMP\~0003946.gif">
          <a:extLst>
            <a:ext uri="{FF2B5EF4-FFF2-40B4-BE49-F238E27FC236}">
              <a16:creationId xmlns:a16="http://schemas.microsoft.com/office/drawing/2014/main" id="{00000000-0008-0000-1D00-0000CDE2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980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28575</xdr:colOff>
      <xdr:row>291</xdr:row>
      <xdr:rowOff>95250</xdr:rowOff>
    </xdr:from>
    <xdr:to>
      <xdr:col>20</xdr:col>
      <xdr:colOff>828675</xdr:colOff>
      <xdr:row>292</xdr:row>
      <xdr:rowOff>123825</xdr:rowOff>
    </xdr:to>
    <xdr:pic>
      <xdr:nvPicPr>
        <xdr:cNvPr id="58062" name="Picture 9" descr="C:\WINDOWS\TEMP\~0003946.gif">
          <a:extLst>
            <a:ext uri="{FF2B5EF4-FFF2-40B4-BE49-F238E27FC236}">
              <a16:creationId xmlns:a16="http://schemas.microsoft.com/office/drawing/2014/main" id="{00000000-0008-0000-1D00-0000CEE2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02825" y="59016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28575</xdr:colOff>
      <xdr:row>195</xdr:row>
      <xdr:rowOff>95250</xdr:rowOff>
    </xdr:from>
    <xdr:to>
      <xdr:col>20</xdr:col>
      <xdr:colOff>828675</xdr:colOff>
      <xdr:row>196</xdr:row>
      <xdr:rowOff>123825</xdr:rowOff>
    </xdr:to>
    <xdr:pic>
      <xdr:nvPicPr>
        <xdr:cNvPr id="58063" name="Picture 9" descr="C:\WINDOWS\TEMP\~0003946.gif">
          <a:extLst>
            <a:ext uri="{FF2B5EF4-FFF2-40B4-BE49-F238E27FC236}">
              <a16:creationId xmlns:a16="http://schemas.microsoft.com/office/drawing/2014/main" id="{00000000-0008-0000-1D00-0000CFE2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02825" y="39728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57150</xdr:colOff>
      <xdr:row>134</xdr:row>
      <xdr:rowOff>95250</xdr:rowOff>
    </xdr:from>
    <xdr:to>
      <xdr:col>20</xdr:col>
      <xdr:colOff>857250</xdr:colOff>
      <xdr:row>135</xdr:row>
      <xdr:rowOff>123825</xdr:rowOff>
    </xdr:to>
    <xdr:pic>
      <xdr:nvPicPr>
        <xdr:cNvPr id="58064" name="Picture 9" descr="C:\WINDOWS\TEMP\~0003946.gif">
          <a:extLst>
            <a:ext uri="{FF2B5EF4-FFF2-40B4-BE49-F238E27FC236}">
              <a16:creationId xmlns:a16="http://schemas.microsoft.com/office/drawing/2014/main" id="{00000000-0008-0000-1D00-0000D0E20000}"/>
            </a:ext>
          </a:extLst>
        </xdr:cNvPr>
        <xdr:cNvPicPr>
          <a:picLocks noChangeAspect="1" noChangeArrowheads="1"/>
        </xdr:cNvPicPr>
      </xdr:nvPicPr>
      <xdr:blipFill>
        <a:blip xmlns:r="http://schemas.openxmlformats.org/officeDocument/2006/relationships" r:embed="rId4" r:link="rId2" cstate="print">
          <a:extLst>
            <a:ext uri="{28A0092B-C50C-407E-A947-70E740481C1C}">
              <a14:useLocalDpi xmlns:a14="http://schemas.microsoft.com/office/drawing/2010/main" val="0"/>
            </a:ext>
          </a:extLst>
        </a:blip>
        <a:srcRect/>
        <a:stretch>
          <a:fillRect/>
        </a:stretch>
      </xdr:blipFill>
      <xdr:spPr bwMode="auto">
        <a:xfrm>
          <a:off x="22631400" y="27451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59873" name="Picture 1" descr="C:\WINDOWS\TEMP\Symbol.gif">
          <a:extLst>
            <a:ext uri="{FF2B5EF4-FFF2-40B4-BE49-F238E27FC236}">
              <a16:creationId xmlns:a16="http://schemas.microsoft.com/office/drawing/2014/main" id="{00000000-0008-0000-1E00-0000E1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9874" name="Picture 2" descr="C:\WINDOWS\TEMP\Symbol.gif">
          <a:extLst>
            <a:ext uri="{FF2B5EF4-FFF2-40B4-BE49-F238E27FC236}">
              <a16:creationId xmlns:a16="http://schemas.microsoft.com/office/drawing/2014/main" id="{00000000-0008-0000-1E00-0000E2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59875" name="Picture 3" descr="C:\WINDOWS\TEMP\Symbol.gif">
          <a:extLst>
            <a:ext uri="{FF2B5EF4-FFF2-40B4-BE49-F238E27FC236}">
              <a16:creationId xmlns:a16="http://schemas.microsoft.com/office/drawing/2014/main" id="{00000000-0008-0000-1E00-0000E3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9876" name="Picture 4" descr="C:\WINDOWS\TEMP\Symbol.gif">
          <a:extLst>
            <a:ext uri="{FF2B5EF4-FFF2-40B4-BE49-F238E27FC236}">
              <a16:creationId xmlns:a16="http://schemas.microsoft.com/office/drawing/2014/main" id="{00000000-0008-0000-1E00-0000E4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59877" name="Picture 5" descr="C:\WINDOWS\TEMP\~0003946.gif">
          <a:extLst>
            <a:ext uri="{FF2B5EF4-FFF2-40B4-BE49-F238E27FC236}">
              <a16:creationId xmlns:a16="http://schemas.microsoft.com/office/drawing/2014/main" id="{00000000-0008-0000-1E00-0000E5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59878" name="Picture 6" descr="C:\WINDOWS\TEMP\~0003946.gif">
          <a:extLst>
            <a:ext uri="{FF2B5EF4-FFF2-40B4-BE49-F238E27FC236}">
              <a16:creationId xmlns:a16="http://schemas.microsoft.com/office/drawing/2014/main" id="{00000000-0008-0000-1E00-0000E6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59879" name="Picture 7" descr="C:\WINDOWS\TEMP\~0003946.gif">
          <a:extLst>
            <a:ext uri="{FF2B5EF4-FFF2-40B4-BE49-F238E27FC236}">
              <a16:creationId xmlns:a16="http://schemas.microsoft.com/office/drawing/2014/main" id="{00000000-0008-0000-1E00-0000E7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9880" name="Picture 8" descr="C:\WINDOWS\TEMP\~0003946.gif">
          <a:extLst>
            <a:ext uri="{FF2B5EF4-FFF2-40B4-BE49-F238E27FC236}">
              <a16:creationId xmlns:a16="http://schemas.microsoft.com/office/drawing/2014/main" id="{00000000-0008-0000-1E00-0000E8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59881" name="Picture 9" descr="C:\WINDOWS\TEMP\~0003946.gif">
          <a:extLst>
            <a:ext uri="{FF2B5EF4-FFF2-40B4-BE49-F238E27FC236}">
              <a16:creationId xmlns:a16="http://schemas.microsoft.com/office/drawing/2014/main" id="{00000000-0008-0000-1E00-0000E9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59882" name="Picture 10" descr="C:\WINDOWS\TEMP\~0003946.gif">
          <a:extLst>
            <a:ext uri="{FF2B5EF4-FFF2-40B4-BE49-F238E27FC236}">
              <a16:creationId xmlns:a16="http://schemas.microsoft.com/office/drawing/2014/main" id="{00000000-0008-0000-1E00-0000EA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59883" name="Picture 11" descr="C:\WINDOWS\TEMP\~0003946.gif">
          <a:extLst>
            <a:ext uri="{FF2B5EF4-FFF2-40B4-BE49-F238E27FC236}">
              <a16:creationId xmlns:a16="http://schemas.microsoft.com/office/drawing/2014/main" id="{00000000-0008-0000-1E00-0000EB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59884" name="Picture 12" descr="C:\WINDOWS\TEMP\~0003946.gif">
          <a:extLst>
            <a:ext uri="{FF2B5EF4-FFF2-40B4-BE49-F238E27FC236}">
              <a16:creationId xmlns:a16="http://schemas.microsoft.com/office/drawing/2014/main" id="{00000000-0008-0000-1E00-0000EC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9885" name="Picture 13" descr="logoMTL">
          <a:extLst>
            <a:ext uri="{FF2B5EF4-FFF2-40B4-BE49-F238E27FC236}">
              <a16:creationId xmlns:a16="http://schemas.microsoft.com/office/drawing/2014/main" id="{00000000-0008-0000-1E00-0000ED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59886" name="Picture 14" descr="logoMTL">
          <a:extLst>
            <a:ext uri="{FF2B5EF4-FFF2-40B4-BE49-F238E27FC236}">
              <a16:creationId xmlns:a16="http://schemas.microsoft.com/office/drawing/2014/main" id="{00000000-0008-0000-1E00-0000EE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59887" name="Picture 15" descr="logoMTL">
          <a:extLst>
            <a:ext uri="{FF2B5EF4-FFF2-40B4-BE49-F238E27FC236}">
              <a16:creationId xmlns:a16="http://schemas.microsoft.com/office/drawing/2014/main" id="{00000000-0008-0000-1E00-0000EF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59888" name="Picture 16" descr="logoMTL">
          <a:extLst>
            <a:ext uri="{FF2B5EF4-FFF2-40B4-BE49-F238E27FC236}">
              <a16:creationId xmlns:a16="http://schemas.microsoft.com/office/drawing/2014/main" id="{00000000-0008-0000-1E00-0000F0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83137" name="Picture 1" descr="C:\WINDOWS\TEMP\Symbol.gif">
          <a:extLst>
            <a:ext uri="{FF2B5EF4-FFF2-40B4-BE49-F238E27FC236}">
              <a16:creationId xmlns:a16="http://schemas.microsoft.com/office/drawing/2014/main" id="{00000000-0008-0000-1F00-0000C1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83138" name="Picture 2" descr="C:\WINDOWS\TEMP\Symbol.gif">
          <a:extLst>
            <a:ext uri="{FF2B5EF4-FFF2-40B4-BE49-F238E27FC236}">
              <a16:creationId xmlns:a16="http://schemas.microsoft.com/office/drawing/2014/main" id="{00000000-0008-0000-1F00-0000C2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83139" name="Picture 3" descr="C:\WINDOWS\TEMP\Symbol.gif">
          <a:extLst>
            <a:ext uri="{FF2B5EF4-FFF2-40B4-BE49-F238E27FC236}">
              <a16:creationId xmlns:a16="http://schemas.microsoft.com/office/drawing/2014/main" id="{00000000-0008-0000-1F00-0000C3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83140" name="Picture 4" descr="C:\WINDOWS\TEMP\Symbol.gif">
          <a:extLst>
            <a:ext uri="{FF2B5EF4-FFF2-40B4-BE49-F238E27FC236}">
              <a16:creationId xmlns:a16="http://schemas.microsoft.com/office/drawing/2014/main" id="{00000000-0008-0000-1F00-0000C4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83141" name="Picture 5" descr="C:\WINDOWS\TEMP\~0003946.gif">
          <a:extLst>
            <a:ext uri="{FF2B5EF4-FFF2-40B4-BE49-F238E27FC236}">
              <a16:creationId xmlns:a16="http://schemas.microsoft.com/office/drawing/2014/main" id="{00000000-0008-0000-1F00-0000C544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83142" name="Picture 6" descr="C:\WINDOWS\TEMP\~0003946.gif">
          <a:extLst>
            <a:ext uri="{FF2B5EF4-FFF2-40B4-BE49-F238E27FC236}">
              <a16:creationId xmlns:a16="http://schemas.microsoft.com/office/drawing/2014/main" id="{00000000-0008-0000-1F00-0000C644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3143" name="Picture 7" descr="C:\WINDOWS\TEMP\~0003946.gif">
          <a:extLst>
            <a:ext uri="{FF2B5EF4-FFF2-40B4-BE49-F238E27FC236}">
              <a16:creationId xmlns:a16="http://schemas.microsoft.com/office/drawing/2014/main" id="{00000000-0008-0000-1F00-0000C744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3144" name="Picture 8" descr="C:\WINDOWS\TEMP\~0003946.gif">
          <a:extLst>
            <a:ext uri="{FF2B5EF4-FFF2-40B4-BE49-F238E27FC236}">
              <a16:creationId xmlns:a16="http://schemas.microsoft.com/office/drawing/2014/main" id="{00000000-0008-0000-1F00-0000C844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83145" name="Picture 9" descr="C:\WINDOWS\TEMP\~0003946.gif">
          <a:extLst>
            <a:ext uri="{FF2B5EF4-FFF2-40B4-BE49-F238E27FC236}">
              <a16:creationId xmlns:a16="http://schemas.microsoft.com/office/drawing/2014/main" id="{00000000-0008-0000-1F00-0000C944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83146" name="Picture 10" descr="C:\WINDOWS\TEMP\~0003946.gif">
          <a:extLst>
            <a:ext uri="{FF2B5EF4-FFF2-40B4-BE49-F238E27FC236}">
              <a16:creationId xmlns:a16="http://schemas.microsoft.com/office/drawing/2014/main" id="{00000000-0008-0000-1F00-0000CA44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83147" name="Picture 11" descr="C:\WINDOWS\TEMP\~0003946.gif">
          <a:extLst>
            <a:ext uri="{FF2B5EF4-FFF2-40B4-BE49-F238E27FC236}">
              <a16:creationId xmlns:a16="http://schemas.microsoft.com/office/drawing/2014/main" id="{00000000-0008-0000-1F00-0000CB44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83148" name="Picture 12" descr="C:\WINDOWS\TEMP\~0003946.gif">
          <a:extLst>
            <a:ext uri="{FF2B5EF4-FFF2-40B4-BE49-F238E27FC236}">
              <a16:creationId xmlns:a16="http://schemas.microsoft.com/office/drawing/2014/main" id="{00000000-0008-0000-1F00-0000CC44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3149" name="Picture 13" descr="logoMTL">
          <a:extLst>
            <a:ext uri="{FF2B5EF4-FFF2-40B4-BE49-F238E27FC236}">
              <a16:creationId xmlns:a16="http://schemas.microsoft.com/office/drawing/2014/main" id="{00000000-0008-0000-1F00-0000CD44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83150" name="Picture 14" descr="logoMTL">
          <a:extLst>
            <a:ext uri="{FF2B5EF4-FFF2-40B4-BE49-F238E27FC236}">
              <a16:creationId xmlns:a16="http://schemas.microsoft.com/office/drawing/2014/main" id="{00000000-0008-0000-1F00-0000CE44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83151" name="Picture 15" descr="logoMTL">
          <a:extLst>
            <a:ext uri="{FF2B5EF4-FFF2-40B4-BE49-F238E27FC236}">
              <a16:creationId xmlns:a16="http://schemas.microsoft.com/office/drawing/2014/main" id="{00000000-0008-0000-1F00-0000CF44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83152" name="Picture 16" descr="logoMTL">
          <a:extLst>
            <a:ext uri="{FF2B5EF4-FFF2-40B4-BE49-F238E27FC236}">
              <a16:creationId xmlns:a16="http://schemas.microsoft.com/office/drawing/2014/main" id="{00000000-0008-0000-1F00-0000D044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4738" name="Picture 1" descr="C:\WINDOWS\TEMP\Symbol.gif">
          <a:extLst>
            <a:ext uri="{FF2B5EF4-FFF2-40B4-BE49-F238E27FC236}">
              <a16:creationId xmlns:a16="http://schemas.microsoft.com/office/drawing/2014/main" id="{00000000-0008-0000-0300-0000E2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64739" name="Picture 2" descr="C:\WINDOWS\TEMP\Symbol.gif">
          <a:extLst>
            <a:ext uri="{FF2B5EF4-FFF2-40B4-BE49-F238E27FC236}">
              <a16:creationId xmlns:a16="http://schemas.microsoft.com/office/drawing/2014/main" id="{00000000-0008-0000-0300-0000E3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64740" name="Picture 3" descr="C:\WINDOWS\TEMP\Symbol.gif">
          <a:extLst>
            <a:ext uri="{FF2B5EF4-FFF2-40B4-BE49-F238E27FC236}">
              <a16:creationId xmlns:a16="http://schemas.microsoft.com/office/drawing/2014/main" id="{00000000-0008-0000-0300-0000E4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4741" name="Picture 4" descr="C:\WINDOWS\TEMP\Symbol.gif">
          <a:extLst>
            <a:ext uri="{FF2B5EF4-FFF2-40B4-BE49-F238E27FC236}">
              <a16:creationId xmlns:a16="http://schemas.microsoft.com/office/drawing/2014/main" id="{00000000-0008-0000-0300-0000E5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64742" name="Picture 5" descr="C:\WINDOWS\TEMP\~0003946.gif">
          <a:extLst>
            <a:ext uri="{FF2B5EF4-FFF2-40B4-BE49-F238E27FC236}">
              <a16:creationId xmlns:a16="http://schemas.microsoft.com/office/drawing/2014/main" id="{00000000-0008-0000-0300-0000E6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64743" name="Picture 6" descr="C:\WINDOWS\TEMP\~0003946.gif">
          <a:extLst>
            <a:ext uri="{FF2B5EF4-FFF2-40B4-BE49-F238E27FC236}">
              <a16:creationId xmlns:a16="http://schemas.microsoft.com/office/drawing/2014/main" id="{00000000-0008-0000-0300-0000E7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64744" name="Picture 7" descr="C:\WINDOWS\TEMP\~0003946.gif">
          <a:extLst>
            <a:ext uri="{FF2B5EF4-FFF2-40B4-BE49-F238E27FC236}">
              <a16:creationId xmlns:a16="http://schemas.microsoft.com/office/drawing/2014/main" id="{00000000-0008-0000-0300-0000E8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4745" name="Picture 8" descr="C:\WINDOWS\TEMP\~0003946.gif">
          <a:extLst>
            <a:ext uri="{FF2B5EF4-FFF2-40B4-BE49-F238E27FC236}">
              <a16:creationId xmlns:a16="http://schemas.microsoft.com/office/drawing/2014/main" id="{00000000-0008-0000-0300-0000E9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4746" name="Picture 9" descr="C:\WINDOWS\TEMP\~0003946.gif">
          <a:extLst>
            <a:ext uri="{FF2B5EF4-FFF2-40B4-BE49-F238E27FC236}">
              <a16:creationId xmlns:a16="http://schemas.microsoft.com/office/drawing/2014/main" id="{00000000-0008-0000-0300-0000EA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64747" name="Picture 10" descr="C:\WINDOWS\TEMP\~0003946.gif">
          <a:extLst>
            <a:ext uri="{FF2B5EF4-FFF2-40B4-BE49-F238E27FC236}">
              <a16:creationId xmlns:a16="http://schemas.microsoft.com/office/drawing/2014/main" id="{00000000-0008-0000-0300-0000EB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64748" name="Picture 11" descr="C:\WINDOWS\TEMP\~0003946.gif">
          <a:extLst>
            <a:ext uri="{FF2B5EF4-FFF2-40B4-BE49-F238E27FC236}">
              <a16:creationId xmlns:a16="http://schemas.microsoft.com/office/drawing/2014/main" id="{00000000-0008-0000-0300-0000EC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64749" name="Picture 12" descr="C:\WINDOWS\TEMP\~0003946.gif">
          <a:extLst>
            <a:ext uri="{FF2B5EF4-FFF2-40B4-BE49-F238E27FC236}">
              <a16:creationId xmlns:a16="http://schemas.microsoft.com/office/drawing/2014/main" id="{00000000-0008-0000-0300-0000ED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4750" name="Picture 13" descr="logoMTL">
          <a:extLst>
            <a:ext uri="{FF2B5EF4-FFF2-40B4-BE49-F238E27FC236}">
              <a16:creationId xmlns:a16="http://schemas.microsoft.com/office/drawing/2014/main" id="{00000000-0008-0000-0300-0000EE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64751" name="Picture 14" descr="logoMTL">
          <a:extLst>
            <a:ext uri="{FF2B5EF4-FFF2-40B4-BE49-F238E27FC236}">
              <a16:creationId xmlns:a16="http://schemas.microsoft.com/office/drawing/2014/main" id="{00000000-0008-0000-0300-0000EF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64752" name="Picture 15" descr="logoMTL">
          <a:extLst>
            <a:ext uri="{FF2B5EF4-FFF2-40B4-BE49-F238E27FC236}">
              <a16:creationId xmlns:a16="http://schemas.microsoft.com/office/drawing/2014/main" id="{00000000-0008-0000-0300-0000F0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64753" name="Picture 16" descr="logoMTL">
          <a:extLst>
            <a:ext uri="{FF2B5EF4-FFF2-40B4-BE49-F238E27FC236}">
              <a16:creationId xmlns:a16="http://schemas.microsoft.com/office/drawing/2014/main" id="{00000000-0008-0000-0300-0000F1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62</xdr:row>
      <xdr:rowOff>152400</xdr:rowOff>
    </xdr:from>
    <xdr:to>
      <xdr:col>1</xdr:col>
      <xdr:colOff>28575</xdr:colOff>
      <xdr:row>63</xdr:row>
      <xdr:rowOff>190500</xdr:rowOff>
    </xdr:to>
    <xdr:pic>
      <xdr:nvPicPr>
        <xdr:cNvPr id="2" name="Picture 1" descr="C:\WINDOWS\TEMP\Symbol.gi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291</xdr:row>
      <xdr:rowOff>123825</xdr:rowOff>
    </xdr:from>
    <xdr:to>
      <xdr:col>20</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195</xdr:row>
      <xdr:rowOff>152400</xdr:rowOff>
    </xdr:from>
    <xdr:to>
      <xdr:col>20</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195</xdr:row>
      <xdr:rowOff>104775</xdr:rowOff>
    </xdr:from>
    <xdr:to>
      <xdr:col>20</xdr:col>
      <xdr:colOff>809625</xdr:colOff>
      <xdr:row>196</xdr:row>
      <xdr:rowOff>133350</xdr:rowOff>
    </xdr:to>
    <xdr:pic>
      <xdr:nvPicPr>
        <xdr:cNvPr id="12" name="Picture 11" descr="C:\WINDOWS\TEMP\~0003946.gif">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291</xdr:row>
      <xdr:rowOff>104775</xdr:rowOff>
    </xdr:from>
    <xdr:to>
      <xdr:col>20</xdr:col>
      <xdr:colOff>895350</xdr:colOff>
      <xdr:row>292</xdr:row>
      <xdr:rowOff>133350</xdr:rowOff>
    </xdr:to>
    <xdr:pic>
      <xdr:nvPicPr>
        <xdr:cNvPr id="13" name="Picture 12" descr="C:\WINDOWS\TEMP\~0003946.gif">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15" name="Picture 14" descr="logoMTL">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195</xdr:row>
      <xdr:rowOff>28575</xdr:rowOff>
    </xdr:from>
    <xdr:to>
      <xdr:col>19</xdr:col>
      <xdr:colOff>1171575</xdr:colOff>
      <xdr:row>196</xdr:row>
      <xdr:rowOff>152400</xdr:rowOff>
    </xdr:to>
    <xdr:pic>
      <xdr:nvPicPr>
        <xdr:cNvPr id="16" name="Picture 15" descr="logoMTL">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291</xdr:row>
      <xdr:rowOff>0</xdr:rowOff>
    </xdr:from>
    <xdr:to>
      <xdr:col>19</xdr:col>
      <xdr:colOff>1228725</xdr:colOff>
      <xdr:row>292</xdr:row>
      <xdr:rowOff>123825</xdr:rowOff>
    </xdr:to>
    <xdr:pic>
      <xdr:nvPicPr>
        <xdr:cNvPr id="17" name="Picture 16" descr="logoMTL">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28575</xdr:colOff>
      <xdr:row>61</xdr:row>
      <xdr:rowOff>152400</xdr:rowOff>
    </xdr:from>
    <xdr:to>
      <xdr:col>1</xdr:col>
      <xdr:colOff>28575</xdr:colOff>
      <xdr:row>62</xdr:row>
      <xdr:rowOff>190500</xdr:rowOff>
    </xdr:to>
    <xdr:pic>
      <xdr:nvPicPr>
        <xdr:cNvPr id="2" name="Picture 1" descr="C:\WINDOWS\TEMP\Symbol.gi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295</xdr:row>
      <xdr:rowOff>123825</xdr:rowOff>
    </xdr:from>
    <xdr:to>
      <xdr:col>20</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61</xdr:row>
      <xdr:rowOff>123825</xdr:rowOff>
    </xdr:from>
    <xdr:to>
      <xdr:col>20</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295</xdr:row>
      <xdr:rowOff>104775</xdr:rowOff>
    </xdr:from>
    <xdr:to>
      <xdr:col>20</xdr:col>
      <xdr:colOff>895350</xdr:colOff>
      <xdr:row>296</xdr:row>
      <xdr:rowOff>133350</xdr:rowOff>
    </xdr:to>
    <xdr:pic>
      <xdr:nvPicPr>
        <xdr:cNvPr id="13" name="Picture 12" descr="C:\WINDOWS\TEMP\~0003946.gif">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61</xdr:row>
      <xdr:rowOff>38100</xdr:rowOff>
    </xdr:from>
    <xdr:to>
      <xdr:col>20</xdr:col>
      <xdr:colOff>0</xdr:colOff>
      <xdr:row>62</xdr:row>
      <xdr:rowOff>161924</xdr:rowOff>
    </xdr:to>
    <xdr:pic>
      <xdr:nvPicPr>
        <xdr:cNvPr id="14" name="Picture 13" descr="logoMTL">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15" name="Picture 14" descr="logoMTL">
          <a:extLst>
            <a:ext uri="{FF2B5EF4-FFF2-40B4-BE49-F238E27FC236}">
              <a16:creationId xmlns:a16="http://schemas.microsoft.com/office/drawing/2014/main" id="{00000000-0008-0000-2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152401</xdr:rowOff>
    </xdr:to>
    <xdr:pic>
      <xdr:nvPicPr>
        <xdr:cNvPr id="16" name="Picture 15" descr="logoMTL">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295</xdr:row>
      <xdr:rowOff>0</xdr:rowOff>
    </xdr:from>
    <xdr:to>
      <xdr:col>19</xdr:col>
      <xdr:colOff>1228725</xdr:colOff>
      <xdr:row>296</xdr:row>
      <xdr:rowOff>123825</xdr:rowOff>
    </xdr:to>
    <xdr:pic>
      <xdr:nvPicPr>
        <xdr:cNvPr id="17" name="Picture 16" descr="logoMTL">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28575</xdr:colOff>
      <xdr:row>61</xdr:row>
      <xdr:rowOff>152400</xdr:rowOff>
    </xdr:from>
    <xdr:to>
      <xdr:col>1</xdr:col>
      <xdr:colOff>28575</xdr:colOff>
      <xdr:row>62</xdr:row>
      <xdr:rowOff>190500</xdr:rowOff>
    </xdr:to>
    <xdr:pic>
      <xdr:nvPicPr>
        <xdr:cNvPr id="2" name="Picture 1" descr="C:\WINDOWS\TEMP\Symbol.gif">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5" name="Picture 4" descr="C:\WINDOWS\TEMP\Symbol.gif">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294</xdr:row>
      <xdr:rowOff>123825</xdr:rowOff>
    </xdr:from>
    <xdr:to>
      <xdr:col>20</xdr:col>
      <xdr:colOff>1895475</xdr:colOff>
      <xdr:row>295</xdr:row>
      <xdr:rowOff>152400</xdr:rowOff>
    </xdr:to>
    <xdr:pic>
      <xdr:nvPicPr>
        <xdr:cNvPr id="6" name="Picture 5" descr="C:\WINDOWS\TEMP\~0003946.gif">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 name="Picture 7" descr="C:\WINDOWS\TEMP\~0003946.gif">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61</xdr:row>
      <xdr:rowOff>123825</xdr:rowOff>
    </xdr:from>
    <xdr:to>
      <xdr:col>20</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11" name="Picture 10" descr="C:\WINDOWS\TEMP\~0003946.gif">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294</xdr:row>
      <xdr:rowOff>104775</xdr:rowOff>
    </xdr:from>
    <xdr:to>
      <xdr:col>20</xdr:col>
      <xdr:colOff>895350</xdr:colOff>
      <xdr:row>295</xdr:row>
      <xdr:rowOff>133350</xdr:rowOff>
    </xdr:to>
    <xdr:pic>
      <xdr:nvPicPr>
        <xdr:cNvPr id="13" name="Picture 12" descr="C:\WINDOWS\TEMP\~0003946.gif">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61</xdr:row>
      <xdr:rowOff>38100</xdr:rowOff>
    </xdr:from>
    <xdr:to>
      <xdr:col>20</xdr:col>
      <xdr:colOff>0</xdr:colOff>
      <xdr:row>62</xdr:row>
      <xdr:rowOff>161924</xdr:rowOff>
    </xdr:to>
    <xdr:pic>
      <xdr:nvPicPr>
        <xdr:cNvPr id="14" name="Picture 13" descr="logoMTL">
          <a:extLst>
            <a:ext uri="{FF2B5EF4-FFF2-40B4-BE49-F238E27FC236}">
              <a16:creationId xmlns:a16="http://schemas.microsoft.com/office/drawing/2014/main" id="{00000000-0008-0000-2C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15" name="Picture 14" descr="logoMTL">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152401</xdr:rowOff>
    </xdr:to>
    <xdr:pic>
      <xdr:nvPicPr>
        <xdr:cNvPr id="16" name="Picture 15" descr="logoMTL">
          <a:extLst>
            <a:ext uri="{FF2B5EF4-FFF2-40B4-BE49-F238E27FC236}">
              <a16:creationId xmlns:a16="http://schemas.microsoft.com/office/drawing/2014/main" id="{00000000-0008-0000-2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294</xdr:row>
      <xdr:rowOff>0</xdr:rowOff>
    </xdr:from>
    <xdr:to>
      <xdr:col>19</xdr:col>
      <xdr:colOff>1228725</xdr:colOff>
      <xdr:row>295</xdr:row>
      <xdr:rowOff>123826</xdr:rowOff>
    </xdr:to>
    <xdr:pic>
      <xdr:nvPicPr>
        <xdr:cNvPr id="17" name="Picture 16" descr="logoMTL">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28575</xdr:colOff>
      <xdr:row>61</xdr:row>
      <xdr:rowOff>152400</xdr:rowOff>
    </xdr:from>
    <xdr:to>
      <xdr:col>1</xdr:col>
      <xdr:colOff>28575</xdr:colOff>
      <xdr:row>62</xdr:row>
      <xdr:rowOff>190500</xdr:rowOff>
    </xdr:to>
    <xdr:pic>
      <xdr:nvPicPr>
        <xdr:cNvPr id="2" name="Picture 1" descr="C:\WINDOWS\TEMP\Symbol.gif">
          <a:extLst>
            <a:ext uri="{FF2B5EF4-FFF2-40B4-BE49-F238E27FC236}">
              <a16:creationId xmlns:a16="http://schemas.microsoft.com/office/drawing/2014/main" id="{C1EF27B2-F77C-463E-A3E5-7AF2385972A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458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4762E5B7-93D0-4E20-985C-B661CC4A50F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3FEBEAD6-AE64-4EF7-A069-A5F2A9F472F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5" name="Picture 4" descr="C:\WINDOWS\TEMP\Symbol.gif">
          <a:extLst>
            <a:ext uri="{FF2B5EF4-FFF2-40B4-BE49-F238E27FC236}">
              <a16:creationId xmlns:a16="http://schemas.microsoft.com/office/drawing/2014/main" id="{99941353-8789-464D-A417-7651E7487A6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294</xdr:row>
      <xdr:rowOff>123825</xdr:rowOff>
    </xdr:from>
    <xdr:to>
      <xdr:col>20</xdr:col>
      <xdr:colOff>1895475</xdr:colOff>
      <xdr:row>295</xdr:row>
      <xdr:rowOff>152400</xdr:rowOff>
    </xdr:to>
    <xdr:pic>
      <xdr:nvPicPr>
        <xdr:cNvPr id="6" name="Picture 5" descr="C:\WINDOWS\TEMP\~0003946.gif">
          <a:extLst>
            <a:ext uri="{FF2B5EF4-FFF2-40B4-BE49-F238E27FC236}">
              <a16:creationId xmlns:a16="http://schemas.microsoft.com/office/drawing/2014/main" id="{F70774ED-C9D6-4020-BBD3-22B9E76366E1}"/>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 name="Picture 6" descr="C:\WINDOWS\TEMP\~0003946.gif">
          <a:extLst>
            <a:ext uri="{FF2B5EF4-FFF2-40B4-BE49-F238E27FC236}">
              <a16:creationId xmlns:a16="http://schemas.microsoft.com/office/drawing/2014/main" id="{0DA832F3-67F0-4B55-B8C9-B7EB9F4FC17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 name="Picture 7" descr="C:\WINDOWS\TEMP\~0003946.gif">
          <a:extLst>
            <a:ext uri="{FF2B5EF4-FFF2-40B4-BE49-F238E27FC236}">
              <a16:creationId xmlns:a16="http://schemas.microsoft.com/office/drawing/2014/main" id="{3B4AA868-88E9-4719-AD68-804C58E7DCA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E25A6578-4CE9-4496-B2E9-E888138E8B5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61</xdr:row>
      <xdr:rowOff>123825</xdr:rowOff>
    </xdr:from>
    <xdr:to>
      <xdr:col>20</xdr:col>
      <xdr:colOff>885825</xdr:colOff>
      <xdr:row>62</xdr:row>
      <xdr:rowOff>152400</xdr:rowOff>
    </xdr:to>
    <xdr:pic>
      <xdr:nvPicPr>
        <xdr:cNvPr id="10" name="Picture 9" descr="C:\WINDOWS\TEMP\~0003946.gif">
          <a:extLst>
            <a:ext uri="{FF2B5EF4-FFF2-40B4-BE49-F238E27FC236}">
              <a16:creationId xmlns:a16="http://schemas.microsoft.com/office/drawing/2014/main" id="{25653ACA-921C-4ED0-85E9-42031DA858F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430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11" name="Picture 10" descr="C:\WINDOWS\TEMP\~0003946.gif">
          <a:extLst>
            <a:ext uri="{FF2B5EF4-FFF2-40B4-BE49-F238E27FC236}">
              <a16:creationId xmlns:a16="http://schemas.microsoft.com/office/drawing/2014/main" id="{E962C4D5-BB9F-4D69-AF41-21167DFF4BE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12" name="Picture 11" descr="C:\WINDOWS\TEMP\~0003946.gif">
          <a:extLst>
            <a:ext uri="{FF2B5EF4-FFF2-40B4-BE49-F238E27FC236}">
              <a16:creationId xmlns:a16="http://schemas.microsoft.com/office/drawing/2014/main" id="{BAE74229-5160-4691-9CBC-C0611356A87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294</xdr:row>
      <xdr:rowOff>104775</xdr:rowOff>
    </xdr:from>
    <xdr:to>
      <xdr:col>20</xdr:col>
      <xdr:colOff>895350</xdr:colOff>
      <xdr:row>295</xdr:row>
      <xdr:rowOff>133350</xdr:rowOff>
    </xdr:to>
    <xdr:pic>
      <xdr:nvPicPr>
        <xdr:cNvPr id="13" name="Picture 12" descr="C:\WINDOWS\TEMP\~0003946.gif">
          <a:extLst>
            <a:ext uri="{FF2B5EF4-FFF2-40B4-BE49-F238E27FC236}">
              <a16:creationId xmlns:a16="http://schemas.microsoft.com/office/drawing/2014/main" id="{74A8C93B-BFA8-405F-9AC9-9DF4AD94F82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61</xdr:row>
      <xdr:rowOff>38100</xdr:rowOff>
    </xdr:from>
    <xdr:to>
      <xdr:col>20</xdr:col>
      <xdr:colOff>0</xdr:colOff>
      <xdr:row>62</xdr:row>
      <xdr:rowOff>161924</xdr:rowOff>
    </xdr:to>
    <xdr:pic>
      <xdr:nvPicPr>
        <xdr:cNvPr id="14" name="Picture 13" descr="logoMTL">
          <a:extLst>
            <a:ext uri="{FF2B5EF4-FFF2-40B4-BE49-F238E27FC236}">
              <a16:creationId xmlns:a16="http://schemas.microsoft.com/office/drawing/2014/main" id="{46F6BBEA-673B-4954-ACDD-CEDFFDF4C63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64625" y="12344400"/>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15" name="Picture 14" descr="logoMTL">
          <a:extLst>
            <a:ext uri="{FF2B5EF4-FFF2-40B4-BE49-F238E27FC236}">
              <a16:creationId xmlns:a16="http://schemas.microsoft.com/office/drawing/2014/main" id="{2F20A867-B00A-4CF8-AE15-AAE5B70B5C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152401</xdr:rowOff>
    </xdr:to>
    <xdr:pic>
      <xdr:nvPicPr>
        <xdr:cNvPr id="16" name="Picture 15" descr="logoMTL">
          <a:extLst>
            <a:ext uri="{FF2B5EF4-FFF2-40B4-BE49-F238E27FC236}">
              <a16:creationId xmlns:a16="http://schemas.microsoft.com/office/drawing/2014/main" id="{B0B01711-0B96-4025-B74D-217DBB1D94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462075"/>
          <a:ext cx="800100" cy="323851"/>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294</xdr:row>
      <xdr:rowOff>0</xdr:rowOff>
    </xdr:from>
    <xdr:to>
      <xdr:col>19</xdr:col>
      <xdr:colOff>1228725</xdr:colOff>
      <xdr:row>295</xdr:row>
      <xdr:rowOff>123826</xdr:rowOff>
    </xdr:to>
    <xdr:pic>
      <xdr:nvPicPr>
        <xdr:cNvPr id="17" name="Picture 16" descr="logoMTL">
          <a:extLst>
            <a:ext uri="{FF2B5EF4-FFF2-40B4-BE49-F238E27FC236}">
              <a16:creationId xmlns:a16="http://schemas.microsoft.com/office/drawing/2014/main" id="{78723A8A-8F21-4F89-9007-01A429F52F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521600"/>
          <a:ext cx="809625" cy="323852"/>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28575</xdr:colOff>
      <xdr:row>61</xdr:row>
      <xdr:rowOff>152400</xdr:rowOff>
    </xdr:from>
    <xdr:to>
      <xdr:col>1</xdr:col>
      <xdr:colOff>28575</xdr:colOff>
      <xdr:row>62</xdr:row>
      <xdr:rowOff>190500</xdr:rowOff>
    </xdr:to>
    <xdr:pic>
      <xdr:nvPicPr>
        <xdr:cNvPr id="2" name="Picture 1" descr="C:\WINDOWS\TEMP\Symbol.gif">
          <a:extLst>
            <a:ext uri="{FF2B5EF4-FFF2-40B4-BE49-F238E27FC236}">
              <a16:creationId xmlns:a16="http://schemas.microsoft.com/office/drawing/2014/main" id="{ADD12E70-716E-45FB-B2BD-731FE98BF5A1}"/>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2329160"/>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3" name="Picture 2" descr="C:\WINDOWS\TEMP\Symbol.gif">
          <a:extLst>
            <a:ext uri="{FF2B5EF4-FFF2-40B4-BE49-F238E27FC236}">
              <a16:creationId xmlns:a16="http://schemas.microsoft.com/office/drawing/2014/main" id="{743ED9F6-CB4E-4A83-B1C6-C46FC84699A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030045"/>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8B619B81-BF7C-447E-9E14-3FBD497802D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178230"/>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294</xdr:row>
      <xdr:rowOff>161925</xdr:rowOff>
    </xdr:from>
    <xdr:to>
      <xdr:col>1</xdr:col>
      <xdr:colOff>19050</xdr:colOff>
      <xdr:row>295</xdr:row>
      <xdr:rowOff>200025</xdr:rowOff>
    </xdr:to>
    <xdr:pic>
      <xdr:nvPicPr>
        <xdr:cNvPr id="5" name="Picture 4" descr="C:\WINDOWS\TEMP\Symbol.gif">
          <a:extLst>
            <a:ext uri="{FF2B5EF4-FFF2-40B4-BE49-F238E27FC236}">
              <a16:creationId xmlns:a16="http://schemas.microsoft.com/office/drawing/2014/main" id="{A35FBF0F-6713-42C2-A034-5A736087FE9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56905"/>
          <a:ext cx="344805"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294</xdr:row>
      <xdr:rowOff>123825</xdr:rowOff>
    </xdr:from>
    <xdr:to>
      <xdr:col>20</xdr:col>
      <xdr:colOff>1895475</xdr:colOff>
      <xdr:row>295</xdr:row>
      <xdr:rowOff>152400</xdr:rowOff>
    </xdr:to>
    <xdr:pic>
      <xdr:nvPicPr>
        <xdr:cNvPr id="6" name="Picture 5" descr="C:\WINDOWS\TEMP\~0003946.gif">
          <a:extLst>
            <a:ext uri="{FF2B5EF4-FFF2-40B4-BE49-F238E27FC236}">
              <a16:creationId xmlns:a16="http://schemas.microsoft.com/office/drawing/2014/main" id="{ED4907EB-EEE9-4A1F-8B8D-C3FA2F41CFD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040975" y="590188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 name="Picture 6" descr="C:\WINDOWS\TEMP\~0003946.gif">
          <a:extLst>
            <a:ext uri="{FF2B5EF4-FFF2-40B4-BE49-F238E27FC236}">
              <a16:creationId xmlns:a16="http://schemas.microsoft.com/office/drawing/2014/main" id="{2B5A67D3-4243-4C2D-A3B1-83E9326E977D}"/>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039070" y="391591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 name="Picture 7" descr="C:\WINDOWS\TEMP\~0003946.gif">
          <a:extLst>
            <a:ext uri="{FF2B5EF4-FFF2-40B4-BE49-F238E27FC236}">
              <a16:creationId xmlns:a16="http://schemas.microsoft.com/office/drawing/2014/main" id="{AAA415EE-B055-40E1-937D-9AB2D544AA62}"/>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044785" y="2703004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F4FE1FF5-5718-414D-8CFE-D218E35B6FAD}"/>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044785" y="1233868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61</xdr:row>
      <xdr:rowOff>123825</xdr:rowOff>
    </xdr:from>
    <xdr:to>
      <xdr:col>20</xdr:col>
      <xdr:colOff>885825</xdr:colOff>
      <xdr:row>62</xdr:row>
      <xdr:rowOff>152400</xdr:rowOff>
    </xdr:to>
    <xdr:pic>
      <xdr:nvPicPr>
        <xdr:cNvPr id="10" name="Picture 9" descr="C:\WINDOWS\TEMP\~0003946.gif">
          <a:extLst>
            <a:ext uri="{FF2B5EF4-FFF2-40B4-BE49-F238E27FC236}">
              <a16:creationId xmlns:a16="http://schemas.microsoft.com/office/drawing/2014/main" id="{1B9E5414-8BD0-4CAB-B92C-F744EB7A956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138005" y="1230058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11" name="Picture 10" descr="C:\WINDOWS\TEMP\~0003946.gif">
          <a:extLst>
            <a:ext uri="{FF2B5EF4-FFF2-40B4-BE49-F238E27FC236}">
              <a16:creationId xmlns:a16="http://schemas.microsoft.com/office/drawing/2014/main" id="{19FFF87F-35E5-472D-B5E0-3E0BC79E1143}"/>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147530" y="2699194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12" name="Picture 11" descr="C:\WINDOWS\TEMP\~0003946.gif">
          <a:extLst>
            <a:ext uri="{FF2B5EF4-FFF2-40B4-BE49-F238E27FC236}">
              <a16:creationId xmlns:a16="http://schemas.microsoft.com/office/drawing/2014/main" id="{D5F9B280-E378-460D-B5E1-6DC614A6DE6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061805" y="3911155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294</xdr:row>
      <xdr:rowOff>104775</xdr:rowOff>
    </xdr:from>
    <xdr:to>
      <xdr:col>20</xdr:col>
      <xdr:colOff>895350</xdr:colOff>
      <xdr:row>295</xdr:row>
      <xdr:rowOff>133350</xdr:rowOff>
    </xdr:to>
    <xdr:pic>
      <xdr:nvPicPr>
        <xdr:cNvPr id="13" name="Picture 12" descr="C:\WINDOWS\TEMP\~0003946.gif">
          <a:extLst>
            <a:ext uri="{FF2B5EF4-FFF2-40B4-BE49-F238E27FC236}">
              <a16:creationId xmlns:a16="http://schemas.microsoft.com/office/drawing/2014/main" id="{EA4D6A35-DF55-4E5A-BE4D-CD24A15C22E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147530" y="5899975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61</xdr:row>
      <xdr:rowOff>38100</xdr:rowOff>
    </xdr:from>
    <xdr:to>
      <xdr:col>20</xdr:col>
      <xdr:colOff>0</xdr:colOff>
      <xdr:row>62</xdr:row>
      <xdr:rowOff>161924</xdr:rowOff>
    </xdr:to>
    <xdr:pic>
      <xdr:nvPicPr>
        <xdr:cNvPr id="14" name="Picture 13" descr="logoMTL">
          <a:extLst>
            <a:ext uri="{FF2B5EF4-FFF2-40B4-BE49-F238E27FC236}">
              <a16:creationId xmlns:a16="http://schemas.microsoft.com/office/drawing/2014/main" id="{C4B23760-7C7A-474F-BECF-E721B62A44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273135" y="12214860"/>
          <a:ext cx="779145" cy="321944"/>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15" name="Picture 14" descr="logoMTL">
          <a:extLst>
            <a:ext uri="{FF2B5EF4-FFF2-40B4-BE49-F238E27FC236}">
              <a16:creationId xmlns:a16="http://schemas.microsoft.com/office/drawing/2014/main" id="{D1B6A4F4-76D0-4F16-9439-2A5C48BC847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196935" y="26906220"/>
          <a:ext cx="800100" cy="321945"/>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152401</xdr:rowOff>
    </xdr:to>
    <xdr:pic>
      <xdr:nvPicPr>
        <xdr:cNvPr id="16" name="Picture 15" descr="logoMTL">
          <a:extLst>
            <a:ext uri="{FF2B5EF4-FFF2-40B4-BE49-F238E27FC236}">
              <a16:creationId xmlns:a16="http://schemas.microsoft.com/office/drawing/2014/main" id="{D186FA0C-6B67-4BEC-BD30-D606E51F69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196935" y="39035355"/>
          <a:ext cx="800100" cy="321946"/>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294</xdr:row>
      <xdr:rowOff>0</xdr:rowOff>
    </xdr:from>
    <xdr:to>
      <xdr:col>20</xdr:col>
      <xdr:colOff>1905</xdr:colOff>
      <xdr:row>295</xdr:row>
      <xdr:rowOff>123826</xdr:rowOff>
    </xdr:to>
    <xdr:pic>
      <xdr:nvPicPr>
        <xdr:cNvPr id="17" name="Picture 16" descr="logoMTL">
          <a:extLst>
            <a:ext uri="{FF2B5EF4-FFF2-40B4-BE49-F238E27FC236}">
              <a16:creationId xmlns:a16="http://schemas.microsoft.com/office/drawing/2014/main" id="{8DFD412E-8C1B-49E3-8FCD-8F71C1F3A7F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244560" y="58894980"/>
          <a:ext cx="809625" cy="321946"/>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6" name="Picture 5" descr="C:\WINDOWS\TEMP\~0003946.gif">
          <a:extLst>
            <a:ext uri="{FF2B5EF4-FFF2-40B4-BE49-F238E27FC236}">
              <a16:creationId xmlns:a16="http://schemas.microsoft.com/office/drawing/2014/main" id="{73472B95-0838-4A8B-AFBE-F3612A69968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83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7" name="Picture 6" descr="C:\WINDOWS\TEMP\~0003946.gif">
          <a:extLst>
            <a:ext uri="{FF2B5EF4-FFF2-40B4-BE49-F238E27FC236}">
              <a16:creationId xmlns:a16="http://schemas.microsoft.com/office/drawing/2014/main" id="{0A5A7524-38E1-4FD7-A1A7-0B4DD6BD90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8" name="Picture 7" descr="C:\WINDOWS\TEMP\~0003946.gif">
          <a:extLst>
            <a:ext uri="{FF2B5EF4-FFF2-40B4-BE49-F238E27FC236}">
              <a16:creationId xmlns:a16="http://schemas.microsoft.com/office/drawing/2014/main" id="{F19F41CC-E380-4F01-B009-3D52B2BFEE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56E1FA7C-1405-4451-89A3-F2F9E940A77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81016</xdr:rowOff>
    </xdr:to>
    <xdr:pic>
      <xdr:nvPicPr>
        <xdr:cNvPr id="18" name="Picture 17">
          <a:extLst>
            <a:ext uri="{FF2B5EF4-FFF2-40B4-BE49-F238E27FC236}">
              <a16:creationId xmlns:a16="http://schemas.microsoft.com/office/drawing/2014/main" id="{9A6344C8-F495-4A0F-AAD6-E9DF1465A703}"/>
            </a:ext>
          </a:extLst>
        </xdr:cNvPr>
        <xdr:cNvPicPr>
          <a:picLocks noChangeAspect="1"/>
        </xdr:cNvPicPr>
      </xdr:nvPicPr>
      <xdr:blipFill>
        <a:blip xmlns:r="http://schemas.openxmlformats.org/officeDocument/2006/relationships" r:embed="rId3"/>
        <a:stretch>
          <a:fillRect/>
        </a:stretch>
      </xdr:blipFill>
      <xdr:spPr>
        <a:xfrm>
          <a:off x="22601464" y="60701465"/>
          <a:ext cx="883997" cy="298730"/>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149051</xdr:rowOff>
    </xdr:to>
    <xdr:pic>
      <xdr:nvPicPr>
        <xdr:cNvPr id="19" name="Picture 18">
          <a:extLst>
            <a:ext uri="{FF2B5EF4-FFF2-40B4-BE49-F238E27FC236}">
              <a16:creationId xmlns:a16="http://schemas.microsoft.com/office/drawing/2014/main" id="{BC8DCB28-BDB4-4E09-A502-1632241204EB}"/>
            </a:ext>
          </a:extLst>
        </xdr:cNvPr>
        <xdr:cNvPicPr>
          <a:picLocks noChangeAspect="1"/>
        </xdr:cNvPicPr>
      </xdr:nvPicPr>
      <xdr:blipFill>
        <a:blip xmlns:r="http://schemas.openxmlformats.org/officeDocument/2006/relationships" r:embed="rId3"/>
        <a:stretch>
          <a:fillRect/>
        </a:stretch>
      </xdr:blipFill>
      <xdr:spPr>
        <a:xfrm>
          <a:off x="22587857" y="40236321"/>
          <a:ext cx="883997" cy="298730"/>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20" name="Picture 19">
          <a:extLst>
            <a:ext uri="{FF2B5EF4-FFF2-40B4-BE49-F238E27FC236}">
              <a16:creationId xmlns:a16="http://schemas.microsoft.com/office/drawing/2014/main" id="{AAF805D8-DC48-490F-BE23-2FE0872CE62E}"/>
            </a:ext>
          </a:extLst>
        </xdr:cNvPr>
        <xdr:cNvPicPr>
          <a:picLocks noChangeAspect="1"/>
        </xdr:cNvPicPr>
      </xdr:nvPicPr>
      <xdr:blipFill>
        <a:blip xmlns:r="http://schemas.openxmlformats.org/officeDocument/2006/relationships" r:embed="rId3"/>
        <a:stretch>
          <a:fillRect/>
        </a:stretch>
      </xdr:blipFill>
      <xdr:spPr>
        <a:xfrm>
          <a:off x="22601464" y="27731358"/>
          <a:ext cx="883997" cy="298730"/>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21" name="Picture 20">
          <a:extLst>
            <a:ext uri="{FF2B5EF4-FFF2-40B4-BE49-F238E27FC236}">
              <a16:creationId xmlns:a16="http://schemas.microsoft.com/office/drawing/2014/main" id="{DC6162A8-DF56-4583-9DD6-76AD8AEC47DC}"/>
            </a:ext>
          </a:extLst>
        </xdr:cNvPr>
        <xdr:cNvPicPr>
          <a:picLocks noChangeAspect="1"/>
        </xdr:cNvPicPr>
      </xdr:nvPicPr>
      <xdr:blipFill>
        <a:blip xmlns:r="http://schemas.openxmlformats.org/officeDocument/2006/relationships" r:embed="rId3"/>
        <a:stretch>
          <a:fillRect/>
        </a:stretch>
      </xdr:blipFill>
      <xdr:spPr>
        <a:xfrm>
          <a:off x="22587857" y="12600214"/>
          <a:ext cx="883997" cy="298730"/>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22" name="Picture 21">
          <a:extLst>
            <a:ext uri="{FF2B5EF4-FFF2-40B4-BE49-F238E27FC236}">
              <a16:creationId xmlns:a16="http://schemas.microsoft.com/office/drawing/2014/main" id="{EC2C4E04-D805-4A3F-8802-DE7564CA4EBB}"/>
            </a:ext>
          </a:extLst>
        </xdr:cNvPr>
        <xdr:cNvPicPr>
          <a:picLocks noChangeAspect="1"/>
        </xdr:cNvPicPr>
      </xdr:nvPicPr>
      <xdr:blipFill>
        <a:blip xmlns:r="http://schemas.openxmlformats.org/officeDocument/2006/relationships" r:embed="rId4"/>
        <a:stretch>
          <a:fillRect/>
        </a:stretch>
      </xdr:blipFill>
      <xdr:spPr>
        <a:xfrm>
          <a:off x="163286" y="12654643"/>
          <a:ext cx="170703" cy="225572"/>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24" name="Picture 23">
          <a:extLst>
            <a:ext uri="{FF2B5EF4-FFF2-40B4-BE49-F238E27FC236}">
              <a16:creationId xmlns:a16="http://schemas.microsoft.com/office/drawing/2014/main" id="{EE25AF58-4840-4C07-96E0-C6CEE94E4802}"/>
            </a:ext>
          </a:extLst>
        </xdr:cNvPr>
        <xdr:cNvPicPr>
          <a:picLocks noChangeAspect="1"/>
        </xdr:cNvPicPr>
      </xdr:nvPicPr>
      <xdr:blipFill>
        <a:blip xmlns:r="http://schemas.openxmlformats.org/officeDocument/2006/relationships" r:embed="rId4"/>
        <a:stretch>
          <a:fillRect/>
        </a:stretch>
      </xdr:blipFill>
      <xdr:spPr>
        <a:xfrm>
          <a:off x="176893" y="27813001"/>
          <a:ext cx="170703" cy="225572"/>
        </a:xfrm>
        <a:prstGeom prst="rect">
          <a:avLst/>
        </a:prstGeom>
      </xdr:spPr>
    </xdr:pic>
    <xdr:clientData/>
  </xdr:twoCellAnchor>
  <xdr:twoCellAnchor editAs="oneCell">
    <xdr:from>
      <xdr:col>0</xdr:col>
      <xdr:colOff>149679</xdr:colOff>
      <xdr:row>194</xdr:row>
      <xdr:rowOff>136071</xdr:rowOff>
    </xdr:from>
    <xdr:to>
      <xdr:col>0</xdr:col>
      <xdr:colOff>320382</xdr:colOff>
      <xdr:row>195</xdr:row>
      <xdr:rowOff>157536</xdr:rowOff>
    </xdr:to>
    <xdr:pic>
      <xdr:nvPicPr>
        <xdr:cNvPr id="25" name="Picture 24">
          <a:extLst>
            <a:ext uri="{FF2B5EF4-FFF2-40B4-BE49-F238E27FC236}">
              <a16:creationId xmlns:a16="http://schemas.microsoft.com/office/drawing/2014/main" id="{A6FAB20A-55E8-41CF-87C8-9424B6AC866B}"/>
            </a:ext>
          </a:extLst>
        </xdr:cNvPr>
        <xdr:cNvPicPr>
          <a:picLocks noChangeAspect="1"/>
        </xdr:cNvPicPr>
      </xdr:nvPicPr>
      <xdr:blipFill>
        <a:blip xmlns:r="http://schemas.openxmlformats.org/officeDocument/2006/relationships" r:embed="rId4"/>
        <a:stretch>
          <a:fillRect/>
        </a:stretch>
      </xdr:blipFill>
      <xdr:spPr>
        <a:xfrm>
          <a:off x="149679" y="40317964"/>
          <a:ext cx="170703" cy="225572"/>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157536</xdr:rowOff>
    </xdr:to>
    <xdr:pic>
      <xdr:nvPicPr>
        <xdr:cNvPr id="27" name="Picture 26">
          <a:extLst>
            <a:ext uri="{FF2B5EF4-FFF2-40B4-BE49-F238E27FC236}">
              <a16:creationId xmlns:a16="http://schemas.microsoft.com/office/drawing/2014/main" id="{03C7DB30-A792-4189-AFDD-75B8BDCE0022}"/>
            </a:ext>
          </a:extLst>
        </xdr:cNvPr>
        <xdr:cNvPicPr>
          <a:picLocks noChangeAspect="1"/>
        </xdr:cNvPicPr>
      </xdr:nvPicPr>
      <xdr:blipFill>
        <a:blip xmlns:r="http://schemas.openxmlformats.org/officeDocument/2006/relationships" r:embed="rId4"/>
        <a:stretch>
          <a:fillRect/>
        </a:stretch>
      </xdr:blipFill>
      <xdr:spPr>
        <a:xfrm>
          <a:off x="190500" y="60851143"/>
          <a:ext cx="170703" cy="22557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2" name="Picture 1" descr="C:\WINDOWS\TEMP\~0003946.gif">
          <a:extLst>
            <a:ext uri="{FF2B5EF4-FFF2-40B4-BE49-F238E27FC236}">
              <a16:creationId xmlns:a16="http://schemas.microsoft.com/office/drawing/2014/main" id="{B08AE03B-D3C5-4F6F-973C-732DBCC5455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8D740CC3-9839-4837-95B1-63CE9174584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E163BF10-A0FB-47F6-A80D-D1FA54422F0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AE85C86C-0928-48F4-AA20-D097AC22264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81016</xdr:rowOff>
    </xdr:to>
    <xdr:pic>
      <xdr:nvPicPr>
        <xdr:cNvPr id="6" name="Picture 5">
          <a:extLst>
            <a:ext uri="{FF2B5EF4-FFF2-40B4-BE49-F238E27FC236}">
              <a16:creationId xmlns:a16="http://schemas.microsoft.com/office/drawing/2014/main" id="{DAE253F0-4D74-43E2-8207-2D2CF109EB66}"/>
            </a:ext>
          </a:extLst>
        </xdr:cNvPr>
        <xdr:cNvPicPr>
          <a:picLocks noChangeAspect="1"/>
        </xdr:cNvPicPr>
      </xdr:nvPicPr>
      <xdr:blipFill>
        <a:blip xmlns:r="http://schemas.openxmlformats.org/officeDocument/2006/relationships" r:embed="rId3"/>
        <a:stretch>
          <a:fillRect/>
        </a:stretch>
      </xdr:blipFill>
      <xdr:spPr>
        <a:xfrm>
          <a:off x="22587857" y="59562547"/>
          <a:ext cx="883997" cy="287844"/>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149051</xdr:rowOff>
    </xdr:to>
    <xdr:pic>
      <xdr:nvPicPr>
        <xdr:cNvPr id="7" name="Picture 6">
          <a:extLst>
            <a:ext uri="{FF2B5EF4-FFF2-40B4-BE49-F238E27FC236}">
              <a16:creationId xmlns:a16="http://schemas.microsoft.com/office/drawing/2014/main" id="{3C61B1D5-6CF0-489C-BFE3-69228A3910E8}"/>
            </a:ext>
          </a:extLst>
        </xdr:cNvPr>
        <xdr:cNvPicPr>
          <a:picLocks noChangeAspect="1"/>
        </xdr:cNvPicPr>
      </xdr:nvPicPr>
      <xdr:blipFill>
        <a:blip xmlns:r="http://schemas.openxmlformats.org/officeDocument/2006/relationships" r:embed="rId3"/>
        <a:stretch>
          <a:fillRect/>
        </a:stretch>
      </xdr:blipFill>
      <xdr:spPr>
        <a:xfrm>
          <a:off x="22574250" y="39497453"/>
          <a:ext cx="883997" cy="294648"/>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8" name="Picture 7">
          <a:extLst>
            <a:ext uri="{FF2B5EF4-FFF2-40B4-BE49-F238E27FC236}">
              <a16:creationId xmlns:a16="http://schemas.microsoft.com/office/drawing/2014/main" id="{1FC654CC-CF02-4F1B-9210-E9B29A1FCB9B}"/>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3A21AF25-2D1D-4218-8BFA-85332D2CE962}"/>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8000CD1C-2397-4FA8-88EF-7EC24024AF5B}"/>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11" name="Picture 10">
          <a:extLst>
            <a:ext uri="{FF2B5EF4-FFF2-40B4-BE49-F238E27FC236}">
              <a16:creationId xmlns:a16="http://schemas.microsoft.com/office/drawing/2014/main" id="{C1520879-FD06-4583-A40E-AE9E10D5DEEE}"/>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194</xdr:row>
      <xdr:rowOff>136071</xdr:rowOff>
    </xdr:from>
    <xdr:to>
      <xdr:col>0</xdr:col>
      <xdr:colOff>320382</xdr:colOff>
      <xdr:row>195</xdr:row>
      <xdr:rowOff>157536</xdr:rowOff>
    </xdr:to>
    <xdr:pic>
      <xdr:nvPicPr>
        <xdr:cNvPr id="12" name="Picture 11">
          <a:extLst>
            <a:ext uri="{FF2B5EF4-FFF2-40B4-BE49-F238E27FC236}">
              <a16:creationId xmlns:a16="http://schemas.microsoft.com/office/drawing/2014/main" id="{17ADA3FB-3E30-4501-825B-7C77B1CA72C7}"/>
            </a:ext>
          </a:extLst>
        </xdr:cNvPr>
        <xdr:cNvPicPr>
          <a:picLocks noChangeAspect="1"/>
        </xdr:cNvPicPr>
      </xdr:nvPicPr>
      <xdr:blipFill>
        <a:blip xmlns:r="http://schemas.openxmlformats.org/officeDocument/2006/relationships" r:embed="rId4"/>
        <a:stretch>
          <a:fillRect/>
        </a:stretch>
      </xdr:blipFill>
      <xdr:spPr>
        <a:xfrm>
          <a:off x="149679" y="39579096"/>
          <a:ext cx="170703" cy="221490"/>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157536</xdr:rowOff>
    </xdr:to>
    <xdr:pic>
      <xdr:nvPicPr>
        <xdr:cNvPr id="13" name="Picture 12">
          <a:extLst>
            <a:ext uri="{FF2B5EF4-FFF2-40B4-BE49-F238E27FC236}">
              <a16:creationId xmlns:a16="http://schemas.microsoft.com/office/drawing/2014/main" id="{E81DB335-7E3B-4EBD-8B62-6AE923EB8889}"/>
            </a:ext>
          </a:extLst>
        </xdr:cNvPr>
        <xdr:cNvPicPr>
          <a:picLocks noChangeAspect="1"/>
        </xdr:cNvPicPr>
      </xdr:nvPicPr>
      <xdr:blipFill>
        <a:blip xmlns:r="http://schemas.openxmlformats.org/officeDocument/2006/relationships" r:embed="rId4"/>
        <a:stretch>
          <a:fillRect/>
        </a:stretch>
      </xdr:blipFill>
      <xdr:spPr>
        <a:xfrm>
          <a:off x="190500" y="59705422"/>
          <a:ext cx="173424" cy="2214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5761" name="Picture 1" descr="C:\WINDOWS\TEMP\Symbol.gif">
          <a:extLst>
            <a:ext uri="{FF2B5EF4-FFF2-40B4-BE49-F238E27FC236}">
              <a16:creationId xmlns:a16="http://schemas.microsoft.com/office/drawing/2014/main" id="{00000000-0008-0000-0400-0000E1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65762" name="Picture 2" descr="C:\WINDOWS\TEMP\Symbol.gif">
          <a:extLst>
            <a:ext uri="{FF2B5EF4-FFF2-40B4-BE49-F238E27FC236}">
              <a16:creationId xmlns:a16="http://schemas.microsoft.com/office/drawing/2014/main" id="{00000000-0008-0000-0400-0000E2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5763" name="Picture 3" descr="C:\WINDOWS\TEMP\Symbol.gif">
          <a:extLst>
            <a:ext uri="{FF2B5EF4-FFF2-40B4-BE49-F238E27FC236}">
              <a16:creationId xmlns:a16="http://schemas.microsoft.com/office/drawing/2014/main" id="{00000000-0008-0000-0400-0000E3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5764" name="Picture 4" descr="C:\WINDOWS\TEMP\Symbol.gif">
          <a:extLst>
            <a:ext uri="{FF2B5EF4-FFF2-40B4-BE49-F238E27FC236}">
              <a16:creationId xmlns:a16="http://schemas.microsoft.com/office/drawing/2014/main" id="{00000000-0008-0000-0400-0000E4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277</xdr:row>
      <xdr:rowOff>123825</xdr:rowOff>
    </xdr:from>
    <xdr:to>
      <xdr:col>20</xdr:col>
      <xdr:colOff>1895475</xdr:colOff>
      <xdr:row>278</xdr:row>
      <xdr:rowOff>152400</xdr:rowOff>
    </xdr:to>
    <xdr:pic>
      <xdr:nvPicPr>
        <xdr:cNvPr id="65765" name="Picture 5" descr="C:\WINDOWS\TEMP\~0003946.gif">
          <a:extLst>
            <a:ext uri="{FF2B5EF4-FFF2-40B4-BE49-F238E27FC236}">
              <a16:creationId xmlns:a16="http://schemas.microsoft.com/office/drawing/2014/main" id="{00000000-0008-0000-0400-0000E5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65766" name="Picture 6" descr="C:\WINDOWS\TEMP\~0003946.gif">
          <a:extLst>
            <a:ext uri="{FF2B5EF4-FFF2-40B4-BE49-F238E27FC236}">
              <a16:creationId xmlns:a16="http://schemas.microsoft.com/office/drawing/2014/main" id="{00000000-0008-0000-0400-0000E6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65767" name="Picture 7" descr="C:\WINDOWS\TEMP\~0003946.gif">
          <a:extLst>
            <a:ext uri="{FF2B5EF4-FFF2-40B4-BE49-F238E27FC236}">
              <a16:creationId xmlns:a16="http://schemas.microsoft.com/office/drawing/2014/main" id="{00000000-0008-0000-0400-0000E7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5768" name="Picture 8" descr="C:\WINDOWS\TEMP\~0003946.gif">
          <a:extLst>
            <a:ext uri="{FF2B5EF4-FFF2-40B4-BE49-F238E27FC236}">
              <a16:creationId xmlns:a16="http://schemas.microsoft.com/office/drawing/2014/main" id="{00000000-0008-0000-0400-0000E8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5769" name="Picture 9" descr="C:\WINDOWS\TEMP\~0003946.gif">
          <a:extLst>
            <a:ext uri="{FF2B5EF4-FFF2-40B4-BE49-F238E27FC236}">
              <a16:creationId xmlns:a16="http://schemas.microsoft.com/office/drawing/2014/main" id="{00000000-0008-0000-0400-0000E9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65770" name="Picture 10" descr="C:\WINDOWS\TEMP\~0003946.gif">
          <a:extLst>
            <a:ext uri="{FF2B5EF4-FFF2-40B4-BE49-F238E27FC236}">
              <a16:creationId xmlns:a16="http://schemas.microsoft.com/office/drawing/2014/main" id="{00000000-0008-0000-0400-0000EA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65771" name="Picture 11" descr="C:\WINDOWS\TEMP\~0003946.gif">
          <a:extLst>
            <a:ext uri="{FF2B5EF4-FFF2-40B4-BE49-F238E27FC236}">
              <a16:creationId xmlns:a16="http://schemas.microsoft.com/office/drawing/2014/main" id="{00000000-0008-0000-0400-0000EB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277</xdr:row>
      <xdr:rowOff>104775</xdr:rowOff>
    </xdr:from>
    <xdr:to>
      <xdr:col>20</xdr:col>
      <xdr:colOff>895350</xdr:colOff>
      <xdr:row>278</xdr:row>
      <xdr:rowOff>133350</xdr:rowOff>
    </xdr:to>
    <xdr:pic>
      <xdr:nvPicPr>
        <xdr:cNvPr id="65772" name="Picture 12" descr="C:\WINDOWS\TEMP\~0003946.gif">
          <a:extLst>
            <a:ext uri="{FF2B5EF4-FFF2-40B4-BE49-F238E27FC236}">
              <a16:creationId xmlns:a16="http://schemas.microsoft.com/office/drawing/2014/main" id="{00000000-0008-0000-0400-0000EC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5773" name="Picture 13" descr="logoMTL">
          <a:extLst>
            <a:ext uri="{FF2B5EF4-FFF2-40B4-BE49-F238E27FC236}">
              <a16:creationId xmlns:a16="http://schemas.microsoft.com/office/drawing/2014/main" id="{00000000-0008-0000-0400-0000ED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65774" name="Picture 14" descr="logoMTL">
          <a:extLst>
            <a:ext uri="{FF2B5EF4-FFF2-40B4-BE49-F238E27FC236}">
              <a16:creationId xmlns:a16="http://schemas.microsoft.com/office/drawing/2014/main" id="{00000000-0008-0000-0400-0000EE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65775" name="Picture 15" descr="logoMTL">
          <a:extLst>
            <a:ext uri="{FF2B5EF4-FFF2-40B4-BE49-F238E27FC236}">
              <a16:creationId xmlns:a16="http://schemas.microsoft.com/office/drawing/2014/main" id="{00000000-0008-0000-0400-0000EF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277</xdr:row>
      <xdr:rowOff>0</xdr:rowOff>
    </xdr:from>
    <xdr:to>
      <xdr:col>19</xdr:col>
      <xdr:colOff>1228725</xdr:colOff>
      <xdr:row>278</xdr:row>
      <xdr:rowOff>123825</xdr:rowOff>
    </xdr:to>
    <xdr:pic>
      <xdr:nvPicPr>
        <xdr:cNvPr id="65776" name="Picture 16" descr="logoMTL">
          <a:extLst>
            <a:ext uri="{FF2B5EF4-FFF2-40B4-BE49-F238E27FC236}">
              <a16:creationId xmlns:a16="http://schemas.microsoft.com/office/drawing/2014/main" id="{00000000-0008-0000-0400-0000F0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2" name="Picture 1" descr="C:\WINDOWS\TEMP\~0003946.gif">
          <a:extLst>
            <a:ext uri="{FF2B5EF4-FFF2-40B4-BE49-F238E27FC236}">
              <a16:creationId xmlns:a16="http://schemas.microsoft.com/office/drawing/2014/main" id="{BBE590B8-F62C-4920-9F3E-B085D8EFB06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FD16631A-5CDF-462F-BCB7-2CA0FDAC3BF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BF884923-0DDF-4B81-820A-25D3C5DB55B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4F4E0CB9-F359-44B7-B013-ADEFE9F9BF7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81016</xdr:rowOff>
    </xdr:to>
    <xdr:pic>
      <xdr:nvPicPr>
        <xdr:cNvPr id="6" name="Picture 5">
          <a:extLst>
            <a:ext uri="{FF2B5EF4-FFF2-40B4-BE49-F238E27FC236}">
              <a16:creationId xmlns:a16="http://schemas.microsoft.com/office/drawing/2014/main" id="{7C2E5C4D-DE56-4556-ADCA-AB64D29BA101}"/>
            </a:ext>
          </a:extLst>
        </xdr:cNvPr>
        <xdr:cNvPicPr>
          <a:picLocks noChangeAspect="1"/>
        </xdr:cNvPicPr>
      </xdr:nvPicPr>
      <xdr:blipFill>
        <a:blip xmlns:r="http://schemas.openxmlformats.org/officeDocument/2006/relationships" r:embed="rId3"/>
        <a:stretch>
          <a:fillRect/>
        </a:stretch>
      </xdr:blipFill>
      <xdr:spPr>
        <a:xfrm>
          <a:off x="22587857" y="59562547"/>
          <a:ext cx="883997" cy="287844"/>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149051</xdr:rowOff>
    </xdr:to>
    <xdr:pic>
      <xdr:nvPicPr>
        <xdr:cNvPr id="7" name="Picture 6">
          <a:extLst>
            <a:ext uri="{FF2B5EF4-FFF2-40B4-BE49-F238E27FC236}">
              <a16:creationId xmlns:a16="http://schemas.microsoft.com/office/drawing/2014/main" id="{25A77DAA-75D6-4052-A3BE-FBAEB25FEBE3}"/>
            </a:ext>
          </a:extLst>
        </xdr:cNvPr>
        <xdr:cNvPicPr>
          <a:picLocks noChangeAspect="1"/>
        </xdr:cNvPicPr>
      </xdr:nvPicPr>
      <xdr:blipFill>
        <a:blip xmlns:r="http://schemas.openxmlformats.org/officeDocument/2006/relationships" r:embed="rId3"/>
        <a:stretch>
          <a:fillRect/>
        </a:stretch>
      </xdr:blipFill>
      <xdr:spPr>
        <a:xfrm>
          <a:off x="22574250" y="39497453"/>
          <a:ext cx="883997" cy="294648"/>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8" name="Picture 7">
          <a:extLst>
            <a:ext uri="{FF2B5EF4-FFF2-40B4-BE49-F238E27FC236}">
              <a16:creationId xmlns:a16="http://schemas.microsoft.com/office/drawing/2014/main" id="{9C8F81B1-97AC-4FAA-961F-A75C6F11F6B4}"/>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B237250E-D60B-4C54-AC76-8253A16ACD3C}"/>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BB251F0B-33F0-44C7-9DDB-DCAE032A9995}"/>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11" name="Picture 10">
          <a:extLst>
            <a:ext uri="{FF2B5EF4-FFF2-40B4-BE49-F238E27FC236}">
              <a16:creationId xmlns:a16="http://schemas.microsoft.com/office/drawing/2014/main" id="{4EEB9425-4022-449E-A143-A21CE2FD6340}"/>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194</xdr:row>
      <xdr:rowOff>136071</xdr:rowOff>
    </xdr:from>
    <xdr:to>
      <xdr:col>0</xdr:col>
      <xdr:colOff>320382</xdr:colOff>
      <xdr:row>195</xdr:row>
      <xdr:rowOff>157536</xdr:rowOff>
    </xdr:to>
    <xdr:pic>
      <xdr:nvPicPr>
        <xdr:cNvPr id="12" name="Picture 11">
          <a:extLst>
            <a:ext uri="{FF2B5EF4-FFF2-40B4-BE49-F238E27FC236}">
              <a16:creationId xmlns:a16="http://schemas.microsoft.com/office/drawing/2014/main" id="{9D9ED451-B7F1-45C9-BFEE-EA7B118DA79E}"/>
            </a:ext>
          </a:extLst>
        </xdr:cNvPr>
        <xdr:cNvPicPr>
          <a:picLocks noChangeAspect="1"/>
        </xdr:cNvPicPr>
      </xdr:nvPicPr>
      <xdr:blipFill>
        <a:blip xmlns:r="http://schemas.openxmlformats.org/officeDocument/2006/relationships" r:embed="rId4"/>
        <a:stretch>
          <a:fillRect/>
        </a:stretch>
      </xdr:blipFill>
      <xdr:spPr>
        <a:xfrm>
          <a:off x="149679" y="39579096"/>
          <a:ext cx="170703" cy="221490"/>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157536</xdr:rowOff>
    </xdr:to>
    <xdr:pic>
      <xdr:nvPicPr>
        <xdr:cNvPr id="13" name="Picture 12">
          <a:extLst>
            <a:ext uri="{FF2B5EF4-FFF2-40B4-BE49-F238E27FC236}">
              <a16:creationId xmlns:a16="http://schemas.microsoft.com/office/drawing/2014/main" id="{38745C3A-F7CE-4A5E-9E8D-F057861E947F}"/>
            </a:ext>
          </a:extLst>
        </xdr:cNvPr>
        <xdr:cNvPicPr>
          <a:picLocks noChangeAspect="1"/>
        </xdr:cNvPicPr>
      </xdr:nvPicPr>
      <xdr:blipFill>
        <a:blip xmlns:r="http://schemas.openxmlformats.org/officeDocument/2006/relationships" r:embed="rId4"/>
        <a:stretch>
          <a:fillRect/>
        </a:stretch>
      </xdr:blipFill>
      <xdr:spPr>
        <a:xfrm>
          <a:off x="190500" y="59705422"/>
          <a:ext cx="173424" cy="22148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2" name="Picture 1" descr="C:\WINDOWS\TEMP\~0003946.gif">
          <a:extLst>
            <a:ext uri="{FF2B5EF4-FFF2-40B4-BE49-F238E27FC236}">
              <a16:creationId xmlns:a16="http://schemas.microsoft.com/office/drawing/2014/main" id="{C12670EE-0E56-48FB-BCF3-4B9538B23D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BD0FADB8-5DA8-4B6F-8F9D-0361D9A279B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9E6CF4EE-6112-49B9-9037-950F468A3BE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B295D859-5D3F-4D75-A177-A1E347C1BEC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81016</xdr:rowOff>
    </xdr:to>
    <xdr:pic>
      <xdr:nvPicPr>
        <xdr:cNvPr id="6" name="Picture 5">
          <a:extLst>
            <a:ext uri="{FF2B5EF4-FFF2-40B4-BE49-F238E27FC236}">
              <a16:creationId xmlns:a16="http://schemas.microsoft.com/office/drawing/2014/main" id="{AE0C700E-33BE-400B-95D5-B2BE070B845E}"/>
            </a:ext>
          </a:extLst>
        </xdr:cNvPr>
        <xdr:cNvPicPr>
          <a:picLocks noChangeAspect="1"/>
        </xdr:cNvPicPr>
      </xdr:nvPicPr>
      <xdr:blipFill>
        <a:blip xmlns:r="http://schemas.openxmlformats.org/officeDocument/2006/relationships" r:embed="rId3"/>
        <a:stretch>
          <a:fillRect/>
        </a:stretch>
      </xdr:blipFill>
      <xdr:spPr>
        <a:xfrm>
          <a:off x="22587857" y="59562547"/>
          <a:ext cx="883997" cy="287844"/>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149051</xdr:rowOff>
    </xdr:to>
    <xdr:pic>
      <xdr:nvPicPr>
        <xdr:cNvPr id="7" name="Picture 6">
          <a:extLst>
            <a:ext uri="{FF2B5EF4-FFF2-40B4-BE49-F238E27FC236}">
              <a16:creationId xmlns:a16="http://schemas.microsoft.com/office/drawing/2014/main" id="{0CE3C252-BDF4-4FF5-B871-378E8F3AE56C}"/>
            </a:ext>
          </a:extLst>
        </xdr:cNvPr>
        <xdr:cNvPicPr>
          <a:picLocks noChangeAspect="1"/>
        </xdr:cNvPicPr>
      </xdr:nvPicPr>
      <xdr:blipFill>
        <a:blip xmlns:r="http://schemas.openxmlformats.org/officeDocument/2006/relationships" r:embed="rId3"/>
        <a:stretch>
          <a:fillRect/>
        </a:stretch>
      </xdr:blipFill>
      <xdr:spPr>
        <a:xfrm>
          <a:off x="22574250" y="39497453"/>
          <a:ext cx="883997" cy="294648"/>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8" name="Picture 7">
          <a:extLst>
            <a:ext uri="{FF2B5EF4-FFF2-40B4-BE49-F238E27FC236}">
              <a16:creationId xmlns:a16="http://schemas.microsoft.com/office/drawing/2014/main" id="{9300F70C-6FD5-4162-83C5-C9E0A14BA673}"/>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0DD90120-4052-41E3-AF44-AD98D8391CF7}"/>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0E6A7089-8210-46EC-B838-BA8F9C6D722D}"/>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11" name="Picture 10">
          <a:extLst>
            <a:ext uri="{FF2B5EF4-FFF2-40B4-BE49-F238E27FC236}">
              <a16:creationId xmlns:a16="http://schemas.microsoft.com/office/drawing/2014/main" id="{89674159-9C3F-4481-90EC-E6CAAA80AF32}"/>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194</xdr:row>
      <xdr:rowOff>136071</xdr:rowOff>
    </xdr:from>
    <xdr:to>
      <xdr:col>0</xdr:col>
      <xdr:colOff>320382</xdr:colOff>
      <xdr:row>195</xdr:row>
      <xdr:rowOff>157536</xdr:rowOff>
    </xdr:to>
    <xdr:pic>
      <xdr:nvPicPr>
        <xdr:cNvPr id="12" name="Picture 11">
          <a:extLst>
            <a:ext uri="{FF2B5EF4-FFF2-40B4-BE49-F238E27FC236}">
              <a16:creationId xmlns:a16="http://schemas.microsoft.com/office/drawing/2014/main" id="{6F456CFE-7C48-465E-B75F-AE1C6179E70D}"/>
            </a:ext>
          </a:extLst>
        </xdr:cNvPr>
        <xdr:cNvPicPr>
          <a:picLocks noChangeAspect="1"/>
        </xdr:cNvPicPr>
      </xdr:nvPicPr>
      <xdr:blipFill>
        <a:blip xmlns:r="http://schemas.openxmlformats.org/officeDocument/2006/relationships" r:embed="rId4"/>
        <a:stretch>
          <a:fillRect/>
        </a:stretch>
      </xdr:blipFill>
      <xdr:spPr>
        <a:xfrm>
          <a:off x="149679" y="39579096"/>
          <a:ext cx="170703" cy="221490"/>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157536</xdr:rowOff>
    </xdr:to>
    <xdr:pic>
      <xdr:nvPicPr>
        <xdr:cNvPr id="13" name="Picture 12">
          <a:extLst>
            <a:ext uri="{FF2B5EF4-FFF2-40B4-BE49-F238E27FC236}">
              <a16:creationId xmlns:a16="http://schemas.microsoft.com/office/drawing/2014/main" id="{C59F7CC0-9B04-4DF7-99EC-59398FDEBDE6}"/>
            </a:ext>
          </a:extLst>
        </xdr:cNvPr>
        <xdr:cNvPicPr>
          <a:picLocks noChangeAspect="1"/>
        </xdr:cNvPicPr>
      </xdr:nvPicPr>
      <xdr:blipFill>
        <a:blip xmlns:r="http://schemas.openxmlformats.org/officeDocument/2006/relationships" r:embed="rId4"/>
        <a:stretch>
          <a:fillRect/>
        </a:stretch>
      </xdr:blipFill>
      <xdr:spPr>
        <a:xfrm>
          <a:off x="190500" y="59705422"/>
          <a:ext cx="173424" cy="22148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2" name="Picture 1" descr="C:\WINDOWS\TEMP\~0003946.gif">
          <a:extLst>
            <a:ext uri="{FF2B5EF4-FFF2-40B4-BE49-F238E27FC236}">
              <a16:creationId xmlns:a16="http://schemas.microsoft.com/office/drawing/2014/main" id="{B9308404-1E27-4D33-949B-9CAAD1DF424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BAC1E43A-32E2-4ED5-A456-70DF9D5C4B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94003593-3D68-417F-84C1-12146EBB1EE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2C962986-ED3D-4573-ACE4-E8CB2A03113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81016</xdr:rowOff>
    </xdr:to>
    <xdr:pic>
      <xdr:nvPicPr>
        <xdr:cNvPr id="6" name="Picture 5">
          <a:extLst>
            <a:ext uri="{FF2B5EF4-FFF2-40B4-BE49-F238E27FC236}">
              <a16:creationId xmlns:a16="http://schemas.microsoft.com/office/drawing/2014/main" id="{46D8AA92-D679-439E-B387-2AC6EA39D6F8}"/>
            </a:ext>
          </a:extLst>
        </xdr:cNvPr>
        <xdr:cNvPicPr>
          <a:picLocks noChangeAspect="1"/>
        </xdr:cNvPicPr>
      </xdr:nvPicPr>
      <xdr:blipFill>
        <a:blip xmlns:r="http://schemas.openxmlformats.org/officeDocument/2006/relationships" r:embed="rId3"/>
        <a:stretch>
          <a:fillRect/>
        </a:stretch>
      </xdr:blipFill>
      <xdr:spPr>
        <a:xfrm>
          <a:off x="22587857" y="59562547"/>
          <a:ext cx="883997" cy="287844"/>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149051</xdr:rowOff>
    </xdr:to>
    <xdr:pic>
      <xdr:nvPicPr>
        <xdr:cNvPr id="7" name="Picture 6">
          <a:extLst>
            <a:ext uri="{FF2B5EF4-FFF2-40B4-BE49-F238E27FC236}">
              <a16:creationId xmlns:a16="http://schemas.microsoft.com/office/drawing/2014/main" id="{CA962AF8-4DD2-474E-A758-90AEF1F1D896}"/>
            </a:ext>
          </a:extLst>
        </xdr:cNvPr>
        <xdr:cNvPicPr>
          <a:picLocks noChangeAspect="1"/>
        </xdr:cNvPicPr>
      </xdr:nvPicPr>
      <xdr:blipFill>
        <a:blip xmlns:r="http://schemas.openxmlformats.org/officeDocument/2006/relationships" r:embed="rId3"/>
        <a:stretch>
          <a:fillRect/>
        </a:stretch>
      </xdr:blipFill>
      <xdr:spPr>
        <a:xfrm>
          <a:off x="22574250" y="39497453"/>
          <a:ext cx="883997" cy="294648"/>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8" name="Picture 7">
          <a:extLst>
            <a:ext uri="{FF2B5EF4-FFF2-40B4-BE49-F238E27FC236}">
              <a16:creationId xmlns:a16="http://schemas.microsoft.com/office/drawing/2014/main" id="{FEBF1D05-30A4-4AB9-81D2-A23734B41A15}"/>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5CE403E6-EEC9-4A95-860B-D81FF0C81362}"/>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E00D28C2-847E-4BC8-B2E7-AD9C79DC6687}"/>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11" name="Picture 10">
          <a:extLst>
            <a:ext uri="{FF2B5EF4-FFF2-40B4-BE49-F238E27FC236}">
              <a16:creationId xmlns:a16="http://schemas.microsoft.com/office/drawing/2014/main" id="{716E9151-D190-4061-88E4-B22C79ADE5CA}"/>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194</xdr:row>
      <xdr:rowOff>136071</xdr:rowOff>
    </xdr:from>
    <xdr:to>
      <xdr:col>0</xdr:col>
      <xdr:colOff>320382</xdr:colOff>
      <xdr:row>195</xdr:row>
      <xdr:rowOff>157536</xdr:rowOff>
    </xdr:to>
    <xdr:pic>
      <xdr:nvPicPr>
        <xdr:cNvPr id="12" name="Picture 11">
          <a:extLst>
            <a:ext uri="{FF2B5EF4-FFF2-40B4-BE49-F238E27FC236}">
              <a16:creationId xmlns:a16="http://schemas.microsoft.com/office/drawing/2014/main" id="{C95D9F9B-D4A1-4218-B6A2-7FD86F17299D}"/>
            </a:ext>
          </a:extLst>
        </xdr:cNvPr>
        <xdr:cNvPicPr>
          <a:picLocks noChangeAspect="1"/>
        </xdr:cNvPicPr>
      </xdr:nvPicPr>
      <xdr:blipFill>
        <a:blip xmlns:r="http://schemas.openxmlformats.org/officeDocument/2006/relationships" r:embed="rId4"/>
        <a:stretch>
          <a:fillRect/>
        </a:stretch>
      </xdr:blipFill>
      <xdr:spPr>
        <a:xfrm>
          <a:off x="149679" y="39579096"/>
          <a:ext cx="170703" cy="221490"/>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157536</xdr:rowOff>
    </xdr:to>
    <xdr:pic>
      <xdr:nvPicPr>
        <xdr:cNvPr id="13" name="Picture 12">
          <a:extLst>
            <a:ext uri="{FF2B5EF4-FFF2-40B4-BE49-F238E27FC236}">
              <a16:creationId xmlns:a16="http://schemas.microsoft.com/office/drawing/2014/main" id="{B420F3CE-0798-492A-96B9-C6056DD08AEF}"/>
            </a:ext>
          </a:extLst>
        </xdr:cNvPr>
        <xdr:cNvPicPr>
          <a:picLocks noChangeAspect="1"/>
        </xdr:cNvPicPr>
      </xdr:nvPicPr>
      <xdr:blipFill>
        <a:blip xmlns:r="http://schemas.openxmlformats.org/officeDocument/2006/relationships" r:embed="rId4"/>
        <a:stretch>
          <a:fillRect/>
        </a:stretch>
      </xdr:blipFill>
      <xdr:spPr>
        <a:xfrm>
          <a:off x="190500" y="59705422"/>
          <a:ext cx="173424" cy="22148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2" name="Picture 1" descr="C:\WINDOWS\TEMP\~0003946.gif">
          <a:extLst>
            <a:ext uri="{FF2B5EF4-FFF2-40B4-BE49-F238E27FC236}">
              <a16:creationId xmlns:a16="http://schemas.microsoft.com/office/drawing/2014/main" id="{E2B8052E-5C9F-49E6-9DE0-461026BD73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0B723CCE-256A-4DC8-A7A0-EFD84466662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1E2E26E7-AC99-4480-B8BF-1CD4BCDD73D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27ABFE86-5398-402F-9AFD-A69D671EB57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81016</xdr:rowOff>
    </xdr:to>
    <xdr:pic>
      <xdr:nvPicPr>
        <xdr:cNvPr id="6" name="Picture 5">
          <a:extLst>
            <a:ext uri="{FF2B5EF4-FFF2-40B4-BE49-F238E27FC236}">
              <a16:creationId xmlns:a16="http://schemas.microsoft.com/office/drawing/2014/main" id="{76E527EF-636B-45C3-8BDD-19CEEC03CE72}"/>
            </a:ext>
          </a:extLst>
        </xdr:cNvPr>
        <xdr:cNvPicPr>
          <a:picLocks noChangeAspect="1"/>
        </xdr:cNvPicPr>
      </xdr:nvPicPr>
      <xdr:blipFill>
        <a:blip xmlns:r="http://schemas.openxmlformats.org/officeDocument/2006/relationships" r:embed="rId3"/>
        <a:stretch>
          <a:fillRect/>
        </a:stretch>
      </xdr:blipFill>
      <xdr:spPr>
        <a:xfrm>
          <a:off x="22587857" y="59562547"/>
          <a:ext cx="883997" cy="287844"/>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149051</xdr:rowOff>
    </xdr:to>
    <xdr:pic>
      <xdr:nvPicPr>
        <xdr:cNvPr id="7" name="Picture 6">
          <a:extLst>
            <a:ext uri="{FF2B5EF4-FFF2-40B4-BE49-F238E27FC236}">
              <a16:creationId xmlns:a16="http://schemas.microsoft.com/office/drawing/2014/main" id="{10E2BB11-88CC-4ED7-89F4-13C13FA1C235}"/>
            </a:ext>
          </a:extLst>
        </xdr:cNvPr>
        <xdr:cNvPicPr>
          <a:picLocks noChangeAspect="1"/>
        </xdr:cNvPicPr>
      </xdr:nvPicPr>
      <xdr:blipFill>
        <a:blip xmlns:r="http://schemas.openxmlformats.org/officeDocument/2006/relationships" r:embed="rId3"/>
        <a:stretch>
          <a:fillRect/>
        </a:stretch>
      </xdr:blipFill>
      <xdr:spPr>
        <a:xfrm>
          <a:off x="22574250" y="39497453"/>
          <a:ext cx="883997" cy="294648"/>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8" name="Picture 7">
          <a:extLst>
            <a:ext uri="{FF2B5EF4-FFF2-40B4-BE49-F238E27FC236}">
              <a16:creationId xmlns:a16="http://schemas.microsoft.com/office/drawing/2014/main" id="{B46ED93E-8942-442E-B8A5-5E4BAC6A7983}"/>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FBF624AC-6D4A-4DA7-9313-0DD78B7E7A70}"/>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DDAC0B0C-435B-4736-925C-06EFD40ECA94}"/>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11" name="Picture 10">
          <a:extLst>
            <a:ext uri="{FF2B5EF4-FFF2-40B4-BE49-F238E27FC236}">
              <a16:creationId xmlns:a16="http://schemas.microsoft.com/office/drawing/2014/main" id="{AEF6AC46-C156-4F9F-814E-73093523858E}"/>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194</xdr:row>
      <xdr:rowOff>136071</xdr:rowOff>
    </xdr:from>
    <xdr:to>
      <xdr:col>0</xdr:col>
      <xdr:colOff>320382</xdr:colOff>
      <xdr:row>195</xdr:row>
      <xdr:rowOff>157536</xdr:rowOff>
    </xdr:to>
    <xdr:pic>
      <xdr:nvPicPr>
        <xdr:cNvPr id="12" name="Picture 11">
          <a:extLst>
            <a:ext uri="{FF2B5EF4-FFF2-40B4-BE49-F238E27FC236}">
              <a16:creationId xmlns:a16="http://schemas.microsoft.com/office/drawing/2014/main" id="{9BE97EA1-F6B7-4496-9472-A95C2EB5C8D6}"/>
            </a:ext>
          </a:extLst>
        </xdr:cNvPr>
        <xdr:cNvPicPr>
          <a:picLocks noChangeAspect="1"/>
        </xdr:cNvPicPr>
      </xdr:nvPicPr>
      <xdr:blipFill>
        <a:blip xmlns:r="http://schemas.openxmlformats.org/officeDocument/2006/relationships" r:embed="rId4"/>
        <a:stretch>
          <a:fillRect/>
        </a:stretch>
      </xdr:blipFill>
      <xdr:spPr>
        <a:xfrm>
          <a:off x="149679" y="39579096"/>
          <a:ext cx="170703" cy="221490"/>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157536</xdr:rowOff>
    </xdr:to>
    <xdr:pic>
      <xdr:nvPicPr>
        <xdr:cNvPr id="13" name="Picture 12">
          <a:extLst>
            <a:ext uri="{FF2B5EF4-FFF2-40B4-BE49-F238E27FC236}">
              <a16:creationId xmlns:a16="http://schemas.microsoft.com/office/drawing/2014/main" id="{6C2D2764-66F0-478A-A99F-E7C468B25F8E}"/>
            </a:ext>
          </a:extLst>
        </xdr:cNvPr>
        <xdr:cNvPicPr>
          <a:picLocks noChangeAspect="1"/>
        </xdr:cNvPicPr>
      </xdr:nvPicPr>
      <xdr:blipFill>
        <a:blip xmlns:r="http://schemas.openxmlformats.org/officeDocument/2006/relationships" r:embed="rId4"/>
        <a:stretch>
          <a:fillRect/>
        </a:stretch>
      </xdr:blipFill>
      <xdr:spPr>
        <a:xfrm>
          <a:off x="190500" y="59705422"/>
          <a:ext cx="173424" cy="22148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1095375</xdr:colOff>
      <xdr:row>294</xdr:row>
      <xdr:rowOff>123825</xdr:rowOff>
    </xdr:from>
    <xdr:to>
      <xdr:col>20</xdr:col>
      <xdr:colOff>1895475</xdr:colOff>
      <xdr:row>295</xdr:row>
      <xdr:rowOff>152400</xdr:rowOff>
    </xdr:to>
    <xdr:pic>
      <xdr:nvPicPr>
        <xdr:cNvPr id="2" name="Picture 1" descr="C:\WINDOWS\TEMP\~0003946.gif">
          <a:extLst>
            <a:ext uri="{FF2B5EF4-FFF2-40B4-BE49-F238E27FC236}">
              <a16:creationId xmlns:a16="http://schemas.microsoft.com/office/drawing/2014/main" id="{B37807CF-F3AC-4D2F-BA74-D861B033CB9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859E4E04-28C1-47CA-890E-7BC2CC3ED3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3F0B6C3A-0C6F-4233-80AF-FA37BB88273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493222D6-AD61-4A1F-B380-CC6ADAB4F21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293</xdr:row>
      <xdr:rowOff>231322</xdr:rowOff>
    </xdr:from>
    <xdr:to>
      <xdr:col>20</xdr:col>
      <xdr:colOff>897604</xdr:colOff>
      <xdr:row>295</xdr:row>
      <xdr:rowOff>87366</xdr:rowOff>
    </xdr:to>
    <xdr:pic>
      <xdr:nvPicPr>
        <xdr:cNvPr id="6" name="Picture 5">
          <a:extLst>
            <a:ext uri="{FF2B5EF4-FFF2-40B4-BE49-F238E27FC236}">
              <a16:creationId xmlns:a16="http://schemas.microsoft.com/office/drawing/2014/main" id="{77D9F318-AE08-491D-91DD-86C4A0D8FC1A}"/>
            </a:ext>
          </a:extLst>
        </xdr:cNvPr>
        <xdr:cNvPicPr>
          <a:picLocks noChangeAspect="1"/>
        </xdr:cNvPicPr>
      </xdr:nvPicPr>
      <xdr:blipFill>
        <a:blip xmlns:r="http://schemas.openxmlformats.org/officeDocument/2006/relationships" r:embed="rId3"/>
        <a:stretch>
          <a:fillRect/>
        </a:stretch>
      </xdr:blipFill>
      <xdr:spPr>
        <a:xfrm>
          <a:off x="22587857" y="59562547"/>
          <a:ext cx="883997" cy="287844"/>
        </a:xfrm>
        <a:prstGeom prst="rect">
          <a:avLst/>
        </a:prstGeom>
      </xdr:spPr>
    </xdr:pic>
    <xdr:clientData/>
  </xdr:twoCellAnchor>
  <xdr:twoCellAnchor editAs="oneCell">
    <xdr:from>
      <xdr:col>20</xdr:col>
      <xdr:colOff>0</xdr:colOff>
      <xdr:row>194</xdr:row>
      <xdr:rowOff>54428</xdr:rowOff>
    </xdr:from>
    <xdr:to>
      <xdr:col>20</xdr:col>
      <xdr:colOff>883997</xdr:colOff>
      <xdr:row>195</xdr:row>
      <xdr:rowOff>142701</xdr:rowOff>
    </xdr:to>
    <xdr:pic>
      <xdr:nvPicPr>
        <xdr:cNvPr id="7" name="Picture 6">
          <a:extLst>
            <a:ext uri="{FF2B5EF4-FFF2-40B4-BE49-F238E27FC236}">
              <a16:creationId xmlns:a16="http://schemas.microsoft.com/office/drawing/2014/main" id="{42B50B1D-32FB-4596-83F1-4783AFE8BC3E}"/>
            </a:ext>
          </a:extLst>
        </xdr:cNvPr>
        <xdr:cNvPicPr>
          <a:picLocks noChangeAspect="1"/>
        </xdr:cNvPicPr>
      </xdr:nvPicPr>
      <xdr:blipFill>
        <a:blip xmlns:r="http://schemas.openxmlformats.org/officeDocument/2006/relationships" r:embed="rId3"/>
        <a:stretch>
          <a:fillRect/>
        </a:stretch>
      </xdr:blipFill>
      <xdr:spPr>
        <a:xfrm>
          <a:off x="22574250" y="39497453"/>
          <a:ext cx="883997" cy="294648"/>
        </a:xfrm>
        <a:prstGeom prst="rect">
          <a:avLst/>
        </a:prstGeom>
      </xdr:spPr>
    </xdr:pic>
    <xdr:clientData/>
  </xdr:twoCellAnchor>
  <xdr:twoCellAnchor editAs="oneCell">
    <xdr:from>
      <xdr:col>20</xdr:col>
      <xdr:colOff>13607</xdr:colOff>
      <xdr:row>133</xdr:row>
      <xdr:rowOff>40822</xdr:rowOff>
    </xdr:from>
    <xdr:to>
      <xdr:col>20</xdr:col>
      <xdr:colOff>897604</xdr:colOff>
      <xdr:row>134</xdr:row>
      <xdr:rowOff>135445</xdr:rowOff>
    </xdr:to>
    <xdr:pic>
      <xdr:nvPicPr>
        <xdr:cNvPr id="8" name="Picture 7">
          <a:extLst>
            <a:ext uri="{FF2B5EF4-FFF2-40B4-BE49-F238E27FC236}">
              <a16:creationId xmlns:a16="http://schemas.microsoft.com/office/drawing/2014/main" id="{F5E5D266-398A-462E-9C63-66668003C47F}"/>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AF02D9CE-9948-433A-A050-14773FAF01FC}"/>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4A53F40E-902D-4D73-A05E-4B9256AFFC11}"/>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133</xdr:row>
      <xdr:rowOff>122465</xdr:rowOff>
    </xdr:from>
    <xdr:to>
      <xdr:col>1</xdr:col>
      <xdr:colOff>7417</xdr:colOff>
      <xdr:row>134</xdr:row>
      <xdr:rowOff>143930</xdr:rowOff>
    </xdr:to>
    <xdr:pic>
      <xdr:nvPicPr>
        <xdr:cNvPr id="11" name="Picture 10">
          <a:extLst>
            <a:ext uri="{FF2B5EF4-FFF2-40B4-BE49-F238E27FC236}">
              <a16:creationId xmlns:a16="http://schemas.microsoft.com/office/drawing/2014/main" id="{351E28B6-866C-4DD6-A6F1-20316CEBC00B}"/>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194</xdr:row>
      <xdr:rowOff>136071</xdr:rowOff>
    </xdr:from>
    <xdr:to>
      <xdr:col>0</xdr:col>
      <xdr:colOff>314032</xdr:colOff>
      <xdr:row>195</xdr:row>
      <xdr:rowOff>163886</xdr:rowOff>
    </xdr:to>
    <xdr:pic>
      <xdr:nvPicPr>
        <xdr:cNvPr id="12" name="Picture 11">
          <a:extLst>
            <a:ext uri="{FF2B5EF4-FFF2-40B4-BE49-F238E27FC236}">
              <a16:creationId xmlns:a16="http://schemas.microsoft.com/office/drawing/2014/main" id="{8908AD95-EBFE-4E8A-8CE5-27BE9B9638E8}"/>
            </a:ext>
          </a:extLst>
        </xdr:cNvPr>
        <xdr:cNvPicPr>
          <a:picLocks noChangeAspect="1"/>
        </xdr:cNvPicPr>
      </xdr:nvPicPr>
      <xdr:blipFill>
        <a:blip xmlns:r="http://schemas.openxmlformats.org/officeDocument/2006/relationships" r:embed="rId4"/>
        <a:stretch>
          <a:fillRect/>
        </a:stretch>
      </xdr:blipFill>
      <xdr:spPr>
        <a:xfrm>
          <a:off x="149679" y="39579096"/>
          <a:ext cx="170703" cy="221490"/>
        </a:xfrm>
        <a:prstGeom prst="rect">
          <a:avLst/>
        </a:prstGeom>
      </xdr:spPr>
    </xdr:pic>
    <xdr:clientData/>
  </xdr:twoCellAnchor>
  <xdr:twoCellAnchor editAs="oneCell">
    <xdr:from>
      <xdr:col>0</xdr:col>
      <xdr:colOff>190500</xdr:colOff>
      <xdr:row>294</xdr:row>
      <xdr:rowOff>136072</xdr:rowOff>
    </xdr:from>
    <xdr:to>
      <xdr:col>1</xdr:col>
      <xdr:colOff>21024</xdr:colOff>
      <xdr:row>295</xdr:row>
      <xdr:rowOff>163886</xdr:rowOff>
    </xdr:to>
    <xdr:pic>
      <xdr:nvPicPr>
        <xdr:cNvPr id="13" name="Picture 12">
          <a:extLst>
            <a:ext uri="{FF2B5EF4-FFF2-40B4-BE49-F238E27FC236}">
              <a16:creationId xmlns:a16="http://schemas.microsoft.com/office/drawing/2014/main" id="{D31DE70A-880A-442C-91C0-0056D791E03F}"/>
            </a:ext>
          </a:extLst>
        </xdr:cNvPr>
        <xdr:cNvPicPr>
          <a:picLocks noChangeAspect="1"/>
        </xdr:cNvPicPr>
      </xdr:nvPicPr>
      <xdr:blipFill>
        <a:blip xmlns:r="http://schemas.openxmlformats.org/officeDocument/2006/relationships" r:embed="rId4"/>
        <a:stretch>
          <a:fillRect/>
        </a:stretch>
      </xdr:blipFill>
      <xdr:spPr>
        <a:xfrm>
          <a:off x="190500" y="59705422"/>
          <a:ext cx="173424" cy="22148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1095375</xdr:colOff>
      <xdr:row>297</xdr:row>
      <xdr:rowOff>123825</xdr:rowOff>
    </xdr:from>
    <xdr:to>
      <xdr:col>20</xdr:col>
      <xdr:colOff>1895475</xdr:colOff>
      <xdr:row>298</xdr:row>
      <xdr:rowOff>152400</xdr:rowOff>
    </xdr:to>
    <xdr:pic>
      <xdr:nvPicPr>
        <xdr:cNvPr id="2" name="Picture 1" descr="C:\WINDOWS\TEMP\~0003946.gif">
          <a:extLst>
            <a:ext uri="{FF2B5EF4-FFF2-40B4-BE49-F238E27FC236}">
              <a16:creationId xmlns:a16="http://schemas.microsoft.com/office/drawing/2014/main" id="{8C53A23A-ED28-4BEA-98F4-2AB00F33079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9693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197</xdr:row>
      <xdr:rowOff>152400</xdr:rowOff>
    </xdr:from>
    <xdr:to>
      <xdr:col>20</xdr:col>
      <xdr:colOff>1924050</xdr:colOff>
      <xdr:row>198</xdr:row>
      <xdr:rowOff>180975</xdr:rowOff>
    </xdr:to>
    <xdr:pic>
      <xdr:nvPicPr>
        <xdr:cNvPr id="3" name="Picture 2" descr="C:\WINDOWS\TEMP\~0003946.gif">
          <a:extLst>
            <a:ext uri="{FF2B5EF4-FFF2-40B4-BE49-F238E27FC236}">
              <a16:creationId xmlns:a16="http://schemas.microsoft.com/office/drawing/2014/main" id="{D55A0A83-F4DE-41E2-B179-51FD795BD73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136</xdr:row>
      <xdr:rowOff>161925</xdr:rowOff>
    </xdr:from>
    <xdr:to>
      <xdr:col>20</xdr:col>
      <xdr:colOff>1952625</xdr:colOff>
      <xdr:row>137</xdr:row>
      <xdr:rowOff>190500</xdr:rowOff>
    </xdr:to>
    <xdr:pic>
      <xdr:nvPicPr>
        <xdr:cNvPr id="4" name="Picture 3" descr="C:\WINDOWS\TEMP\~0003946.gif">
          <a:extLst>
            <a:ext uri="{FF2B5EF4-FFF2-40B4-BE49-F238E27FC236}">
              <a16:creationId xmlns:a16="http://schemas.microsoft.com/office/drawing/2014/main" id="{7FEB60D6-4EE2-4A09-BBCB-62B9491E6A9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500A6B25-6859-4CF1-8381-D7744A17CEA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296</xdr:row>
      <xdr:rowOff>231322</xdr:rowOff>
    </xdr:from>
    <xdr:to>
      <xdr:col>20</xdr:col>
      <xdr:colOff>897604</xdr:colOff>
      <xdr:row>298</xdr:row>
      <xdr:rowOff>87366</xdr:rowOff>
    </xdr:to>
    <xdr:pic>
      <xdr:nvPicPr>
        <xdr:cNvPr id="6" name="Picture 5">
          <a:extLst>
            <a:ext uri="{FF2B5EF4-FFF2-40B4-BE49-F238E27FC236}">
              <a16:creationId xmlns:a16="http://schemas.microsoft.com/office/drawing/2014/main" id="{737B4B2C-8459-4241-9C37-258ED75EC275}"/>
            </a:ext>
          </a:extLst>
        </xdr:cNvPr>
        <xdr:cNvPicPr>
          <a:picLocks noChangeAspect="1"/>
        </xdr:cNvPicPr>
      </xdr:nvPicPr>
      <xdr:blipFill>
        <a:blip xmlns:r="http://schemas.openxmlformats.org/officeDocument/2006/relationships" r:embed="rId3"/>
        <a:stretch>
          <a:fillRect/>
        </a:stretch>
      </xdr:blipFill>
      <xdr:spPr>
        <a:xfrm>
          <a:off x="22587857" y="59562547"/>
          <a:ext cx="883997" cy="294194"/>
        </a:xfrm>
        <a:prstGeom prst="rect">
          <a:avLst/>
        </a:prstGeom>
      </xdr:spPr>
    </xdr:pic>
    <xdr:clientData/>
  </xdr:twoCellAnchor>
  <xdr:twoCellAnchor editAs="oneCell">
    <xdr:from>
      <xdr:col>20</xdr:col>
      <xdr:colOff>0</xdr:colOff>
      <xdr:row>197</xdr:row>
      <xdr:rowOff>54428</xdr:rowOff>
    </xdr:from>
    <xdr:to>
      <xdr:col>20</xdr:col>
      <xdr:colOff>883997</xdr:colOff>
      <xdr:row>198</xdr:row>
      <xdr:rowOff>142701</xdr:rowOff>
    </xdr:to>
    <xdr:pic>
      <xdr:nvPicPr>
        <xdr:cNvPr id="7" name="Picture 6">
          <a:extLst>
            <a:ext uri="{FF2B5EF4-FFF2-40B4-BE49-F238E27FC236}">
              <a16:creationId xmlns:a16="http://schemas.microsoft.com/office/drawing/2014/main" id="{72AAFF1B-A144-4B39-A597-F298F727D423}"/>
            </a:ext>
          </a:extLst>
        </xdr:cNvPr>
        <xdr:cNvPicPr>
          <a:picLocks noChangeAspect="1"/>
        </xdr:cNvPicPr>
      </xdr:nvPicPr>
      <xdr:blipFill>
        <a:blip xmlns:r="http://schemas.openxmlformats.org/officeDocument/2006/relationships" r:embed="rId3"/>
        <a:stretch>
          <a:fillRect/>
        </a:stretch>
      </xdr:blipFill>
      <xdr:spPr>
        <a:xfrm>
          <a:off x="22574250" y="39497453"/>
          <a:ext cx="883997" cy="288298"/>
        </a:xfrm>
        <a:prstGeom prst="rect">
          <a:avLst/>
        </a:prstGeom>
      </xdr:spPr>
    </xdr:pic>
    <xdr:clientData/>
  </xdr:twoCellAnchor>
  <xdr:twoCellAnchor editAs="oneCell">
    <xdr:from>
      <xdr:col>20</xdr:col>
      <xdr:colOff>13607</xdr:colOff>
      <xdr:row>136</xdr:row>
      <xdr:rowOff>40822</xdr:rowOff>
    </xdr:from>
    <xdr:to>
      <xdr:col>20</xdr:col>
      <xdr:colOff>897604</xdr:colOff>
      <xdr:row>137</xdr:row>
      <xdr:rowOff>135445</xdr:rowOff>
    </xdr:to>
    <xdr:pic>
      <xdr:nvPicPr>
        <xdr:cNvPr id="8" name="Picture 7">
          <a:extLst>
            <a:ext uri="{FF2B5EF4-FFF2-40B4-BE49-F238E27FC236}">
              <a16:creationId xmlns:a16="http://schemas.microsoft.com/office/drawing/2014/main" id="{F0E61FBD-E071-4918-A6A2-5E4C5AC6C22D}"/>
            </a:ext>
          </a:extLst>
        </xdr:cNvPr>
        <xdr:cNvPicPr>
          <a:picLocks noChangeAspect="1"/>
        </xdr:cNvPicPr>
      </xdr:nvPicPr>
      <xdr:blipFill>
        <a:blip xmlns:r="http://schemas.openxmlformats.org/officeDocument/2006/relationships" r:embed="rId3"/>
        <a:stretch>
          <a:fillRect/>
        </a:stretch>
      </xdr:blipFill>
      <xdr:spPr>
        <a:xfrm>
          <a:off x="22587857" y="27206122"/>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BB5343F5-056C-411E-ABB1-6759BA417223}"/>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4FA3D0DB-6419-467C-B270-0A13BA25E892}"/>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136</xdr:row>
      <xdr:rowOff>122465</xdr:rowOff>
    </xdr:from>
    <xdr:to>
      <xdr:col>1</xdr:col>
      <xdr:colOff>7417</xdr:colOff>
      <xdr:row>137</xdr:row>
      <xdr:rowOff>143930</xdr:rowOff>
    </xdr:to>
    <xdr:pic>
      <xdr:nvPicPr>
        <xdr:cNvPr id="11" name="Picture 10">
          <a:extLst>
            <a:ext uri="{FF2B5EF4-FFF2-40B4-BE49-F238E27FC236}">
              <a16:creationId xmlns:a16="http://schemas.microsoft.com/office/drawing/2014/main" id="{BF3F9943-BBA8-4F06-B073-8C96AC18124A}"/>
            </a:ext>
          </a:extLst>
        </xdr:cNvPr>
        <xdr:cNvPicPr>
          <a:picLocks noChangeAspect="1"/>
        </xdr:cNvPicPr>
      </xdr:nvPicPr>
      <xdr:blipFill>
        <a:blip xmlns:r="http://schemas.openxmlformats.org/officeDocument/2006/relationships" r:embed="rId4"/>
        <a:stretch>
          <a:fillRect/>
        </a:stretch>
      </xdr:blipFill>
      <xdr:spPr>
        <a:xfrm>
          <a:off x="176893" y="27287765"/>
          <a:ext cx="173424" cy="221490"/>
        </a:xfrm>
        <a:prstGeom prst="rect">
          <a:avLst/>
        </a:prstGeom>
      </xdr:spPr>
    </xdr:pic>
    <xdr:clientData/>
  </xdr:twoCellAnchor>
  <xdr:twoCellAnchor editAs="oneCell">
    <xdr:from>
      <xdr:col>0</xdr:col>
      <xdr:colOff>149679</xdr:colOff>
      <xdr:row>197</xdr:row>
      <xdr:rowOff>136071</xdr:rowOff>
    </xdr:from>
    <xdr:to>
      <xdr:col>0</xdr:col>
      <xdr:colOff>314032</xdr:colOff>
      <xdr:row>198</xdr:row>
      <xdr:rowOff>163886</xdr:rowOff>
    </xdr:to>
    <xdr:pic>
      <xdr:nvPicPr>
        <xdr:cNvPr id="12" name="Picture 11">
          <a:extLst>
            <a:ext uri="{FF2B5EF4-FFF2-40B4-BE49-F238E27FC236}">
              <a16:creationId xmlns:a16="http://schemas.microsoft.com/office/drawing/2014/main" id="{3EBB0BA4-F949-426E-9B01-2DA137ED613D}"/>
            </a:ext>
          </a:extLst>
        </xdr:cNvPr>
        <xdr:cNvPicPr>
          <a:picLocks noChangeAspect="1"/>
        </xdr:cNvPicPr>
      </xdr:nvPicPr>
      <xdr:blipFill>
        <a:blip xmlns:r="http://schemas.openxmlformats.org/officeDocument/2006/relationships" r:embed="rId4"/>
        <a:stretch>
          <a:fillRect/>
        </a:stretch>
      </xdr:blipFill>
      <xdr:spPr>
        <a:xfrm>
          <a:off x="149679" y="39579096"/>
          <a:ext cx="164353" cy="227840"/>
        </a:xfrm>
        <a:prstGeom prst="rect">
          <a:avLst/>
        </a:prstGeom>
      </xdr:spPr>
    </xdr:pic>
    <xdr:clientData/>
  </xdr:twoCellAnchor>
  <xdr:twoCellAnchor editAs="oneCell">
    <xdr:from>
      <xdr:col>0</xdr:col>
      <xdr:colOff>190500</xdr:colOff>
      <xdr:row>297</xdr:row>
      <xdr:rowOff>136072</xdr:rowOff>
    </xdr:from>
    <xdr:to>
      <xdr:col>1</xdr:col>
      <xdr:colOff>21024</xdr:colOff>
      <xdr:row>298</xdr:row>
      <xdr:rowOff>163886</xdr:rowOff>
    </xdr:to>
    <xdr:pic>
      <xdr:nvPicPr>
        <xdr:cNvPr id="13" name="Picture 12">
          <a:extLst>
            <a:ext uri="{FF2B5EF4-FFF2-40B4-BE49-F238E27FC236}">
              <a16:creationId xmlns:a16="http://schemas.microsoft.com/office/drawing/2014/main" id="{6AEB7DBC-DCBB-4BDF-AC5C-86946836DE58}"/>
            </a:ext>
          </a:extLst>
        </xdr:cNvPr>
        <xdr:cNvPicPr>
          <a:picLocks noChangeAspect="1"/>
        </xdr:cNvPicPr>
      </xdr:nvPicPr>
      <xdr:blipFill>
        <a:blip xmlns:r="http://schemas.openxmlformats.org/officeDocument/2006/relationships" r:embed="rId4"/>
        <a:stretch>
          <a:fillRect/>
        </a:stretch>
      </xdr:blipFill>
      <xdr:spPr>
        <a:xfrm>
          <a:off x="190500" y="59705422"/>
          <a:ext cx="173424" cy="22783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1095375</xdr:colOff>
      <xdr:row>297</xdr:row>
      <xdr:rowOff>123825</xdr:rowOff>
    </xdr:from>
    <xdr:to>
      <xdr:col>20</xdr:col>
      <xdr:colOff>1895475</xdr:colOff>
      <xdr:row>298</xdr:row>
      <xdr:rowOff>152400</xdr:rowOff>
    </xdr:to>
    <xdr:pic>
      <xdr:nvPicPr>
        <xdr:cNvPr id="2" name="Picture 1" descr="C:\WINDOWS\TEMP\~0003946.gif">
          <a:extLst>
            <a:ext uri="{FF2B5EF4-FFF2-40B4-BE49-F238E27FC236}">
              <a16:creationId xmlns:a16="http://schemas.microsoft.com/office/drawing/2014/main" id="{71115C01-F54F-41EC-A7C1-56253BC80F5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60293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197</xdr:row>
      <xdr:rowOff>152400</xdr:rowOff>
    </xdr:from>
    <xdr:to>
      <xdr:col>20</xdr:col>
      <xdr:colOff>1924050</xdr:colOff>
      <xdr:row>198</xdr:row>
      <xdr:rowOff>180975</xdr:rowOff>
    </xdr:to>
    <xdr:pic>
      <xdr:nvPicPr>
        <xdr:cNvPr id="3" name="Picture 2" descr="C:\WINDOWS\TEMP\~0003946.gif">
          <a:extLst>
            <a:ext uri="{FF2B5EF4-FFF2-40B4-BE49-F238E27FC236}">
              <a16:creationId xmlns:a16="http://schemas.microsoft.com/office/drawing/2014/main" id="{621B8E52-6DAA-4C04-9F5D-D9250E7777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401955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136</xdr:row>
      <xdr:rowOff>161925</xdr:rowOff>
    </xdr:from>
    <xdr:to>
      <xdr:col>20</xdr:col>
      <xdr:colOff>1952625</xdr:colOff>
      <xdr:row>137</xdr:row>
      <xdr:rowOff>190500</xdr:rowOff>
    </xdr:to>
    <xdr:pic>
      <xdr:nvPicPr>
        <xdr:cNvPr id="4" name="Picture 3" descr="C:\WINDOWS\TEMP\~0003946.gif">
          <a:extLst>
            <a:ext uri="{FF2B5EF4-FFF2-40B4-BE49-F238E27FC236}">
              <a16:creationId xmlns:a16="http://schemas.microsoft.com/office/drawing/2014/main" id="{EA41A0C5-A5AE-49FD-8C6A-5021029271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927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BDC7BE5D-7386-4F64-8A8F-B28C56FCCE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296</xdr:row>
      <xdr:rowOff>231322</xdr:rowOff>
    </xdr:from>
    <xdr:to>
      <xdr:col>20</xdr:col>
      <xdr:colOff>897604</xdr:colOff>
      <xdr:row>298</xdr:row>
      <xdr:rowOff>87366</xdr:rowOff>
    </xdr:to>
    <xdr:pic>
      <xdr:nvPicPr>
        <xdr:cNvPr id="6" name="Picture 5">
          <a:extLst>
            <a:ext uri="{FF2B5EF4-FFF2-40B4-BE49-F238E27FC236}">
              <a16:creationId xmlns:a16="http://schemas.microsoft.com/office/drawing/2014/main" id="{C5E03870-43A3-47D4-B1E1-249EA1CC7C48}"/>
            </a:ext>
          </a:extLst>
        </xdr:cNvPr>
        <xdr:cNvPicPr>
          <a:picLocks noChangeAspect="1"/>
        </xdr:cNvPicPr>
      </xdr:nvPicPr>
      <xdr:blipFill>
        <a:blip xmlns:r="http://schemas.openxmlformats.org/officeDocument/2006/relationships" r:embed="rId3"/>
        <a:stretch>
          <a:fillRect/>
        </a:stretch>
      </xdr:blipFill>
      <xdr:spPr>
        <a:xfrm>
          <a:off x="22587857" y="60162622"/>
          <a:ext cx="883997" cy="294194"/>
        </a:xfrm>
        <a:prstGeom prst="rect">
          <a:avLst/>
        </a:prstGeom>
      </xdr:spPr>
    </xdr:pic>
    <xdr:clientData/>
  </xdr:twoCellAnchor>
  <xdr:twoCellAnchor editAs="oneCell">
    <xdr:from>
      <xdr:col>20</xdr:col>
      <xdr:colOff>0</xdr:colOff>
      <xdr:row>197</xdr:row>
      <xdr:rowOff>54428</xdr:rowOff>
    </xdr:from>
    <xdr:to>
      <xdr:col>20</xdr:col>
      <xdr:colOff>883997</xdr:colOff>
      <xdr:row>198</xdr:row>
      <xdr:rowOff>142701</xdr:rowOff>
    </xdr:to>
    <xdr:pic>
      <xdr:nvPicPr>
        <xdr:cNvPr id="7" name="Picture 6">
          <a:extLst>
            <a:ext uri="{FF2B5EF4-FFF2-40B4-BE49-F238E27FC236}">
              <a16:creationId xmlns:a16="http://schemas.microsoft.com/office/drawing/2014/main" id="{2A2D6F48-245F-46FB-A44C-5CB972382594}"/>
            </a:ext>
          </a:extLst>
        </xdr:cNvPr>
        <xdr:cNvPicPr>
          <a:picLocks noChangeAspect="1"/>
        </xdr:cNvPicPr>
      </xdr:nvPicPr>
      <xdr:blipFill>
        <a:blip xmlns:r="http://schemas.openxmlformats.org/officeDocument/2006/relationships" r:embed="rId3"/>
        <a:stretch>
          <a:fillRect/>
        </a:stretch>
      </xdr:blipFill>
      <xdr:spPr>
        <a:xfrm>
          <a:off x="22574250" y="40097528"/>
          <a:ext cx="883997" cy="288298"/>
        </a:xfrm>
        <a:prstGeom prst="rect">
          <a:avLst/>
        </a:prstGeom>
      </xdr:spPr>
    </xdr:pic>
    <xdr:clientData/>
  </xdr:twoCellAnchor>
  <xdr:twoCellAnchor editAs="oneCell">
    <xdr:from>
      <xdr:col>20</xdr:col>
      <xdr:colOff>13607</xdr:colOff>
      <xdr:row>136</xdr:row>
      <xdr:rowOff>40822</xdr:rowOff>
    </xdr:from>
    <xdr:to>
      <xdr:col>20</xdr:col>
      <xdr:colOff>897604</xdr:colOff>
      <xdr:row>137</xdr:row>
      <xdr:rowOff>135445</xdr:rowOff>
    </xdr:to>
    <xdr:pic>
      <xdr:nvPicPr>
        <xdr:cNvPr id="8" name="Picture 7">
          <a:extLst>
            <a:ext uri="{FF2B5EF4-FFF2-40B4-BE49-F238E27FC236}">
              <a16:creationId xmlns:a16="http://schemas.microsoft.com/office/drawing/2014/main" id="{DFD742D4-CB9E-4EB7-8448-9E9F2D8E1416}"/>
            </a:ext>
          </a:extLst>
        </xdr:cNvPr>
        <xdr:cNvPicPr>
          <a:picLocks noChangeAspect="1"/>
        </xdr:cNvPicPr>
      </xdr:nvPicPr>
      <xdr:blipFill>
        <a:blip xmlns:r="http://schemas.openxmlformats.org/officeDocument/2006/relationships" r:embed="rId3"/>
        <a:stretch>
          <a:fillRect/>
        </a:stretch>
      </xdr:blipFill>
      <xdr:spPr>
        <a:xfrm>
          <a:off x="22587857" y="27806197"/>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0338C3A2-A7F3-408C-8BB6-07562BAE51F5}"/>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3A5506BA-03C1-4794-A453-A67337452C17}"/>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136</xdr:row>
      <xdr:rowOff>122465</xdr:rowOff>
    </xdr:from>
    <xdr:to>
      <xdr:col>1</xdr:col>
      <xdr:colOff>7417</xdr:colOff>
      <xdr:row>137</xdr:row>
      <xdr:rowOff>143930</xdr:rowOff>
    </xdr:to>
    <xdr:pic>
      <xdr:nvPicPr>
        <xdr:cNvPr id="11" name="Picture 10">
          <a:extLst>
            <a:ext uri="{FF2B5EF4-FFF2-40B4-BE49-F238E27FC236}">
              <a16:creationId xmlns:a16="http://schemas.microsoft.com/office/drawing/2014/main" id="{DF6456CF-5C74-43F5-B9CC-9C2FA22B22FB}"/>
            </a:ext>
          </a:extLst>
        </xdr:cNvPr>
        <xdr:cNvPicPr>
          <a:picLocks noChangeAspect="1"/>
        </xdr:cNvPicPr>
      </xdr:nvPicPr>
      <xdr:blipFill>
        <a:blip xmlns:r="http://schemas.openxmlformats.org/officeDocument/2006/relationships" r:embed="rId4"/>
        <a:stretch>
          <a:fillRect/>
        </a:stretch>
      </xdr:blipFill>
      <xdr:spPr>
        <a:xfrm>
          <a:off x="176893" y="27887840"/>
          <a:ext cx="173424" cy="221490"/>
        </a:xfrm>
        <a:prstGeom prst="rect">
          <a:avLst/>
        </a:prstGeom>
      </xdr:spPr>
    </xdr:pic>
    <xdr:clientData/>
  </xdr:twoCellAnchor>
  <xdr:twoCellAnchor editAs="oneCell">
    <xdr:from>
      <xdr:col>0</xdr:col>
      <xdr:colOff>149679</xdr:colOff>
      <xdr:row>197</xdr:row>
      <xdr:rowOff>136071</xdr:rowOff>
    </xdr:from>
    <xdr:to>
      <xdr:col>0</xdr:col>
      <xdr:colOff>314032</xdr:colOff>
      <xdr:row>198</xdr:row>
      <xdr:rowOff>163886</xdr:rowOff>
    </xdr:to>
    <xdr:pic>
      <xdr:nvPicPr>
        <xdr:cNvPr id="12" name="Picture 11">
          <a:extLst>
            <a:ext uri="{FF2B5EF4-FFF2-40B4-BE49-F238E27FC236}">
              <a16:creationId xmlns:a16="http://schemas.microsoft.com/office/drawing/2014/main" id="{F2B78962-3DDF-4E4C-8C83-257F9275F9AA}"/>
            </a:ext>
          </a:extLst>
        </xdr:cNvPr>
        <xdr:cNvPicPr>
          <a:picLocks noChangeAspect="1"/>
        </xdr:cNvPicPr>
      </xdr:nvPicPr>
      <xdr:blipFill>
        <a:blip xmlns:r="http://schemas.openxmlformats.org/officeDocument/2006/relationships" r:embed="rId4"/>
        <a:stretch>
          <a:fillRect/>
        </a:stretch>
      </xdr:blipFill>
      <xdr:spPr>
        <a:xfrm>
          <a:off x="149679" y="40179171"/>
          <a:ext cx="164353" cy="227840"/>
        </a:xfrm>
        <a:prstGeom prst="rect">
          <a:avLst/>
        </a:prstGeom>
      </xdr:spPr>
    </xdr:pic>
    <xdr:clientData/>
  </xdr:twoCellAnchor>
  <xdr:twoCellAnchor editAs="oneCell">
    <xdr:from>
      <xdr:col>0</xdr:col>
      <xdr:colOff>190500</xdr:colOff>
      <xdr:row>297</xdr:row>
      <xdr:rowOff>136072</xdr:rowOff>
    </xdr:from>
    <xdr:to>
      <xdr:col>1</xdr:col>
      <xdr:colOff>21024</xdr:colOff>
      <xdr:row>298</xdr:row>
      <xdr:rowOff>163886</xdr:rowOff>
    </xdr:to>
    <xdr:pic>
      <xdr:nvPicPr>
        <xdr:cNvPr id="13" name="Picture 12">
          <a:extLst>
            <a:ext uri="{FF2B5EF4-FFF2-40B4-BE49-F238E27FC236}">
              <a16:creationId xmlns:a16="http://schemas.microsoft.com/office/drawing/2014/main" id="{6B6981BE-7783-46E8-8F27-214715AF4442}"/>
            </a:ext>
          </a:extLst>
        </xdr:cNvPr>
        <xdr:cNvPicPr>
          <a:picLocks noChangeAspect="1"/>
        </xdr:cNvPicPr>
      </xdr:nvPicPr>
      <xdr:blipFill>
        <a:blip xmlns:r="http://schemas.openxmlformats.org/officeDocument/2006/relationships" r:embed="rId4"/>
        <a:stretch>
          <a:fillRect/>
        </a:stretch>
      </xdr:blipFill>
      <xdr:spPr>
        <a:xfrm>
          <a:off x="190500" y="60305497"/>
          <a:ext cx="173424" cy="22783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1095375</xdr:colOff>
      <xdr:row>297</xdr:row>
      <xdr:rowOff>123825</xdr:rowOff>
    </xdr:from>
    <xdr:to>
      <xdr:col>20</xdr:col>
      <xdr:colOff>1895475</xdr:colOff>
      <xdr:row>298</xdr:row>
      <xdr:rowOff>152400</xdr:rowOff>
    </xdr:to>
    <xdr:pic>
      <xdr:nvPicPr>
        <xdr:cNvPr id="2" name="Picture 1" descr="C:\WINDOWS\TEMP\~0003946.gif">
          <a:extLst>
            <a:ext uri="{FF2B5EF4-FFF2-40B4-BE49-F238E27FC236}">
              <a16:creationId xmlns:a16="http://schemas.microsoft.com/office/drawing/2014/main" id="{5D581E13-4A6E-4CA4-A5C1-32763F80FA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60293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197</xdr:row>
      <xdr:rowOff>152400</xdr:rowOff>
    </xdr:from>
    <xdr:to>
      <xdr:col>20</xdr:col>
      <xdr:colOff>1924050</xdr:colOff>
      <xdr:row>198</xdr:row>
      <xdr:rowOff>180975</xdr:rowOff>
    </xdr:to>
    <xdr:pic>
      <xdr:nvPicPr>
        <xdr:cNvPr id="3" name="Picture 2" descr="C:\WINDOWS\TEMP\~0003946.gif">
          <a:extLst>
            <a:ext uri="{FF2B5EF4-FFF2-40B4-BE49-F238E27FC236}">
              <a16:creationId xmlns:a16="http://schemas.microsoft.com/office/drawing/2014/main" id="{74855A3E-F0EF-4F44-8C0F-2198F4CB98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401955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136</xdr:row>
      <xdr:rowOff>161925</xdr:rowOff>
    </xdr:from>
    <xdr:to>
      <xdr:col>20</xdr:col>
      <xdr:colOff>1952625</xdr:colOff>
      <xdr:row>137</xdr:row>
      <xdr:rowOff>190500</xdr:rowOff>
    </xdr:to>
    <xdr:pic>
      <xdr:nvPicPr>
        <xdr:cNvPr id="4" name="Picture 3" descr="C:\WINDOWS\TEMP\~0003946.gif">
          <a:extLst>
            <a:ext uri="{FF2B5EF4-FFF2-40B4-BE49-F238E27FC236}">
              <a16:creationId xmlns:a16="http://schemas.microsoft.com/office/drawing/2014/main" id="{01EDFB6B-8992-451B-AD80-C59C349352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927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15AAB5E1-2541-4D83-B32A-A25F57AF67A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296</xdr:row>
      <xdr:rowOff>231322</xdr:rowOff>
    </xdr:from>
    <xdr:to>
      <xdr:col>20</xdr:col>
      <xdr:colOff>897604</xdr:colOff>
      <xdr:row>298</xdr:row>
      <xdr:rowOff>87366</xdr:rowOff>
    </xdr:to>
    <xdr:pic>
      <xdr:nvPicPr>
        <xdr:cNvPr id="6" name="Picture 5">
          <a:extLst>
            <a:ext uri="{FF2B5EF4-FFF2-40B4-BE49-F238E27FC236}">
              <a16:creationId xmlns:a16="http://schemas.microsoft.com/office/drawing/2014/main" id="{08D7B1AB-3062-4DEB-BE57-00A69F927E82}"/>
            </a:ext>
          </a:extLst>
        </xdr:cNvPr>
        <xdr:cNvPicPr>
          <a:picLocks noChangeAspect="1"/>
        </xdr:cNvPicPr>
      </xdr:nvPicPr>
      <xdr:blipFill>
        <a:blip xmlns:r="http://schemas.openxmlformats.org/officeDocument/2006/relationships" r:embed="rId3"/>
        <a:stretch>
          <a:fillRect/>
        </a:stretch>
      </xdr:blipFill>
      <xdr:spPr>
        <a:xfrm>
          <a:off x="22587857" y="60162622"/>
          <a:ext cx="883997" cy="294194"/>
        </a:xfrm>
        <a:prstGeom prst="rect">
          <a:avLst/>
        </a:prstGeom>
      </xdr:spPr>
    </xdr:pic>
    <xdr:clientData/>
  </xdr:twoCellAnchor>
  <xdr:twoCellAnchor editAs="oneCell">
    <xdr:from>
      <xdr:col>20</xdr:col>
      <xdr:colOff>0</xdr:colOff>
      <xdr:row>197</xdr:row>
      <xdr:rowOff>54428</xdr:rowOff>
    </xdr:from>
    <xdr:to>
      <xdr:col>20</xdr:col>
      <xdr:colOff>883997</xdr:colOff>
      <xdr:row>198</xdr:row>
      <xdr:rowOff>142701</xdr:rowOff>
    </xdr:to>
    <xdr:pic>
      <xdr:nvPicPr>
        <xdr:cNvPr id="7" name="Picture 6">
          <a:extLst>
            <a:ext uri="{FF2B5EF4-FFF2-40B4-BE49-F238E27FC236}">
              <a16:creationId xmlns:a16="http://schemas.microsoft.com/office/drawing/2014/main" id="{46BC7C43-54A8-4B2C-9891-28EDCEE303B4}"/>
            </a:ext>
          </a:extLst>
        </xdr:cNvPr>
        <xdr:cNvPicPr>
          <a:picLocks noChangeAspect="1"/>
        </xdr:cNvPicPr>
      </xdr:nvPicPr>
      <xdr:blipFill>
        <a:blip xmlns:r="http://schemas.openxmlformats.org/officeDocument/2006/relationships" r:embed="rId3"/>
        <a:stretch>
          <a:fillRect/>
        </a:stretch>
      </xdr:blipFill>
      <xdr:spPr>
        <a:xfrm>
          <a:off x="22574250" y="40097528"/>
          <a:ext cx="883997" cy="288298"/>
        </a:xfrm>
        <a:prstGeom prst="rect">
          <a:avLst/>
        </a:prstGeom>
      </xdr:spPr>
    </xdr:pic>
    <xdr:clientData/>
  </xdr:twoCellAnchor>
  <xdr:twoCellAnchor editAs="oneCell">
    <xdr:from>
      <xdr:col>20</xdr:col>
      <xdr:colOff>13607</xdr:colOff>
      <xdr:row>136</xdr:row>
      <xdr:rowOff>40822</xdr:rowOff>
    </xdr:from>
    <xdr:to>
      <xdr:col>20</xdr:col>
      <xdr:colOff>897604</xdr:colOff>
      <xdr:row>137</xdr:row>
      <xdr:rowOff>135445</xdr:rowOff>
    </xdr:to>
    <xdr:pic>
      <xdr:nvPicPr>
        <xdr:cNvPr id="8" name="Picture 7">
          <a:extLst>
            <a:ext uri="{FF2B5EF4-FFF2-40B4-BE49-F238E27FC236}">
              <a16:creationId xmlns:a16="http://schemas.microsoft.com/office/drawing/2014/main" id="{F3B4B6D3-AC40-49DE-9341-C14BEAEE3FF0}"/>
            </a:ext>
          </a:extLst>
        </xdr:cNvPr>
        <xdr:cNvPicPr>
          <a:picLocks noChangeAspect="1"/>
        </xdr:cNvPicPr>
      </xdr:nvPicPr>
      <xdr:blipFill>
        <a:blip xmlns:r="http://schemas.openxmlformats.org/officeDocument/2006/relationships" r:embed="rId3"/>
        <a:stretch>
          <a:fillRect/>
        </a:stretch>
      </xdr:blipFill>
      <xdr:spPr>
        <a:xfrm>
          <a:off x="22587857" y="27806197"/>
          <a:ext cx="883997"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CB781D87-7FEE-4EEC-892B-DF407557589E}"/>
            </a:ext>
          </a:extLst>
        </xdr:cNvPr>
        <xdr:cNvPicPr>
          <a:picLocks noChangeAspect="1"/>
        </xdr:cNvPicPr>
      </xdr:nvPicPr>
      <xdr:blipFill>
        <a:blip xmlns:r="http://schemas.openxmlformats.org/officeDocument/2006/relationships" r:embed="rId3"/>
        <a:stretch>
          <a:fillRect/>
        </a:stretch>
      </xdr:blipFill>
      <xdr:spPr>
        <a:xfrm>
          <a:off x="22574250" y="12356646"/>
          <a:ext cx="883997"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27431743-23C1-4C7A-A190-BD17F74BD743}"/>
            </a:ext>
          </a:extLst>
        </xdr:cNvPr>
        <xdr:cNvPicPr>
          <a:picLocks noChangeAspect="1"/>
        </xdr:cNvPicPr>
      </xdr:nvPicPr>
      <xdr:blipFill>
        <a:blip xmlns:r="http://schemas.openxmlformats.org/officeDocument/2006/relationships" r:embed="rId4"/>
        <a:stretch>
          <a:fillRect/>
        </a:stretch>
      </xdr:blipFill>
      <xdr:spPr>
        <a:xfrm>
          <a:off x="163286" y="12411075"/>
          <a:ext cx="170703" cy="221490"/>
        </a:xfrm>
        <a:prstGeom prst="rect">
          <a:avLst/>
        </a:prstGeom>
      </xdr:spPr>
    </xdr:pic>
    <xdr:clientData/>
  </xdr:twoCellAnchor>
  <xdr:twoCellAnchor editAs="oneCell">
    <xdr:from>
      <xdr:col>0</xdr:col>
      <xdr:colOff>176893</xdr:colOff>
      <xdr:row>136</xdr:row>
      <xdr:rowOff>122465</xdr:rowOff>
    </xdr:from>
    <xdr:to>
      <xdr:col>1</xdr:col>
      <xdr:colOff>7417</xdr:colOff>
      <xdr:row>137</xdr:row>
      <xdr:rowOff>143930</xdr:rowOff>
    </xdr:to>
    <xdr:pic>
      <xdr:nvPicPr>
        <xdr:cNvPr id="11" name="Picture 10">
          <a:extLst>
            <a:ext uri="{FF2B5EF4-FFF2-40B4-BE49-F238E27FC236}">
              <a16:creationId xmlns:a16="http://schemas.microsoft.com/office/drawing/2014/main" id="{C32E8121-6AA7-4ADA-B195-8C2A06B3BEFE}"/>
            </a:ext>
          </a:extLst>
        </xdr:cNvPr>
        <xdr:cNvPicPr>
          <a:picLocks noChangeAspect="1"/>
        </xdr:cNvPicPr>
      </xdr:nvPicPr>
      <xdr:blipFill>
        <a:blip xmlns:r="http://schemas.openxmlformats.org/officeDocument/2006/relationships" r:embed="rId4"/>
        <a:stretch>
          <a:fillRect/>
        </a:stretch>
      </xdr:blipFill>
      <xdr:spPr>
        <a:xfrm>
          <a:off x="176893" y="27887840"/>
          <a:ext cx="173424" cy="221490"/>
        </a:xfrm>
        <a:prstGeom prst="rect">
          <a:avLst/>
        </a:prstGeom>
      </xdr:spPr>
    </xdr:pic>
    <xdr:clientData/>
  </xdr:twoCellAnchor>
  <xdr:twoCellAnchor editAs="oneCell">
    <xdr:from>
      <xdr:col>0</xdr:col>
      <xdr:colOff>149679</xdr:colOff>
      <xdr:row>197</xdr:row>
      <xdr:rowOff>136071</xdr:rowOff>
    </xdr:from>
    <xdr:to>
      <xdr:col>0</xdr:col>
      <xdr:colOff>314032</xdr:colOff>
      <xdr:row>198</xdr:row>
      <xdr:rowOff>163886</xdr:rowOff>
    </xdr:to>
    <xdr:pic>
      <xdr:nvPicPr>
        <xdr:cNvPr id="12" name="Picture 11">
          <a:extLst>
            <a:ext uri="{FF2B5EF4-FFF2-40B4-BE49-F238E27FC236}">
              <a16:creationId xmlns:a16="http://schemas.microsoft.com/office/drawing/2014/main" id="{765E87E6-75AB-446F-9BC9-4078636BBE51}"/>
            </a:ext>
          </a:extLst>
        </xdr:cNvPr>
        <xdr:cNvPicPr>
          <a:picLocks noChangeAspect="1"/>
        </xdr:cNvPicPr>
      </xdr:nvPicPr>
      <xdr:blipFill>
        <a:blip xmlns:r="http://schemas.openxmlformats.org/officeDocument/2006/relationships" r:embed="rId4"/>
        <a:stretch>
          <a:fillRect/>
        </a:stretch>
      </xdr:blipFill>
      <xdr:spPr>
        <a:xfrm>
          <a:off x="149679" y="40179171"/>
          <a:ext cx="164353" cy="227840"/>
        </a:xfrm>
        <a:prstGeom prst="rect">
          <a:avLst/>
        </a:prstGeom>
      </xdr:spPr>
    </xdr:pic>
    <xdr:clientData/>
  </xdr:twoCellAnchor>
  <xdr:twoCellAnchor editAs="oneCell">
    <xdr:from>
      <xdr:col>0</xdr:col>
      <xdr:colOff>190500</xdr:colOff>
      <xdr:row>297</xdr:row>
      <xdr:rowOff>136072</xdr:rowOff>
    </xdr:from>
    <xdr:to>
      <xdr:col>1</xdr:col>
      <xdr:colOff>21024</xdr:colOff>
      <xdr:row>298</xdr:row>
      <xdr:rowOff>163886</xdr:rowOff>
    </xdr:to>
    <xdr:pic>
      <xdr:nvPicPr>
        <xdr:cNvPr id="13" name="Picture 12">
          <a:extLst>
            <a:ext uri="{FF2B5EF4-FFF2-40B4-BE49-F238E27FC236}">
              <a16:creationId xmlns:a16="http://schemas.microsoft.com/office/drawing/2014/main" id="{DD0B7E52-C91D-4EDD-9E99-088E77097CBC}"/>
            </a:ext>
          </a:extLst>
        </xdr:cNvPr>
        <xdr:cNvPicPr>
          <a:picLocks noChangeAspect="1"/>
        </xdr:cNvPicPr>
      </xdr:nvPicPr>
      <xdr:blipFill>
        <a:blip xmlns:r="http://schemas.openxmlformats.org/officeDocument/2006/relationships" r:embed="rId4"/>
        <a:stretch>
          <a:fillRect/>
        </a:stretch>
      </xdr:blipFill>
      <xdr:spPr>
        <a:xfrm>
          <a:off x="190500" y="60305497"/>
          <a:ext cx="173424" cy="22783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1095375</xdr:colOff>
      <xdr:row>322</xdr:row>
      <xdr:rowOff>123825</xdr:rowOff>
    </xdr:from>
    <xdr:to>
      <xdr:col>20</xdr:col>
      <xdr:colOff>1895475</xdr:colOff>
      <xdr:row>323</xdr:row>
      <xdr:rowOff>152400</xdr:rowOff>
    </xdr:to>
    <xdr:pic>
      <xdr:nvPicPr>
        <xdr:cNvPr id="2" name="Picture 1" descr="C:\WINDOWS\TEMP\~0003946.gif">
          <a:extLst>
            <a:ext uri="{FF2B5EF4-FFF2-40B4-BE49-F238E27FC236}">
              <a16:creationId xmlns:a16="http://schemas.microsoft.com/office/drawing/2014/main" id="{823B5245-6695-4C64-9C3B-FFD75B0BC6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4425" y="602138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197</xdr:row>
      <xdr:rowOff>152400</xdr:rowOff>
    </xdr:from>
    <xdr:to>
      <xdr:col>20</xdr:col>
      <xdr:colOff>1924050</xdr:colOff>
      <xdr:row>198</xdr:row>
      <xdr:rowOff>180975</xdr:rowOff>
    </xdr:to>
    <xdr:pic>
      <xdr:nvPicPr>
        <xdr:cNvPr id="3" name="Picture 2" descr="C:\WINDOWS\TEMP\~0003946.gif">
          <a:extLst>
            <a:ext uri="{FF2B5EF4-FFF2-40B4-BE49-F238E27FC236}">
              <a16:creationId xmlns:a16="http://schemas.microsoft.com/office/drawing/2014/main" id="{DD164FE6-FF28-4DBC-807D-B0990128CB2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7600" y="40128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136</xdr:row>
      <xdr:rowOff>161925</xdr:rowOff>
    </xdr:from>
    <xdr:to>
      <xdr:col>20</xdr:col>
      <xdr:colOff>1952625</xdr:colOff>
      <xdr:row>137</xdr:row>
      <xdr:rowOff>190500</xdr:rowOff>
    </xdr:to>
    <xdr:pic>
      <xdr:nvPicPr>
        <xdr:cNvPr id="4" name="Picture 3" descr="C:\WINDOWS\TEMP\~0003946.gif">
          <a:extLst>
            <a:ext uri="{FF2B5EF4-FFF2-40B4-BE49-F238E27FC236}">
              <a16:creationId xmlns:a16="http://schemas.microsoft.com/office/drawing/2014/main" id="{D80CC49F-58F0-4D37-877C-7A294B727DD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4425" y="27895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00BCDBAF-1591-4B38-8E15-AE31529E3C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4425"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321</xdr:row>
      <xdr:rowOff>231322</xdr:rowOff>
    </xdr:from>
    <xdr:to>
      <xdr:col>20</xdr:col>
      <xdr:colOff>897604</xdr:colOff>
      <xdr:row>323</xdr:row>
      <xdr:rowOff>84192</xdr:rowOff>
    </xdr:to>
    <xdr:pic>
      <xdr:nvPicPr>
        <xdr:cNvPr id="6" name="Picture 5">
          <a:extLst>
            <a:ext uri="{FF2B5EF4-FFF2-40B4-BE49-F238E27FC236}">
              <a16:creationId xmlns:a16="http://schemas.microsoft.com/office/drawing/2014/main" id="{529245FF-91A9-45F6-9C54-56DE927C7629}"/>
            </a:ext>
          </a:extLst>
        </xdr:cNvPr>
        <xdr:cNvPicPr>
          <a:picLocks noChangeAspect="1"/>
        </xdr:cNvPicPr>
      </xdr:nvPicPr>
      <xdr:blipFill>
        <a:blip xmlns:r="http://schemas.openxmlformats.org/officeDocument/2006/relationships" r:embed="rId3"/>
        <a:stretch>
          <a:fillRect/>
        </a:stretch>
      </xdr:blipFill>
      <xdr:spPr>
        <a:xfrm>
          <a:off x="21736957" y="60086422"/>
          <a:ext cx="887172" cy="291019"/>
        </a:xfrm>
        <a:prstGeom prst="rect">
          <a:avLst/>
        </a:prstGeom>
      </xdr:spPr>
    </xdr:pic>
    <xdr:clientData/>
  </xdr:twoCellAnchor>
  <xdr:twoCellAnchor editAs="oneCell">
    <xdr:from>
      <xdr:col>20</xdr:col>
      <xdr:colOff>0</xdr:colOff>
      <xdr:row>197</xdr:row>
      <xdr:rowOff>54428</xdr:rowOff>
    </xdr:from>
    <xdr:to>
      <xdr:col>20</xdr:col>
      <xdr:colOff>883997</xdr:colOff>
      <xdr:row>198</xdr:row>
      <xdr:rowOff>142701</xdr:rowOff>
    </xdr:to>
    <xdr:pic>
      <xdr:nvPicPr>
        <xdr:cNvPr id="7" name="Picture 6">
          <a:extLst>
            <a:ext uri="{FF2B5EF4-FFF2-40B4-BE49-F238E27FC236}">
              <a16:creationId xmlns:a16="http://schemas.microsoft.com/office/drawing/2014/main" id="{613CBF3B-25FC-4498-8885-9769058728D9}"/>
            </a:ext>
          </a:extLst>
        </xdr:cNvPr>
        <xdr:cNvPicPr>
          <a:picLocks noChangeAspect="1"/>
        </xdr:cNvPicPr>
      </xdr:nvPicPr>
      <xdr:blipFill>
        <a:blip xmlns:r="http://schemas.openxmlformats.org/officeDocument/2006/relationships" r:embed="rId3"/>
        <a:stretch>
          <a:fillRect/>
        </a:stretch>
      </xdr:blipFill>
      <xdr:spPr>
        <a:xfrm>
          <a:off x="21726525" y="40030853"/>
          <a:ext cx="887172" cy="291473"/>
        </a:xfrm>
        <a:prstGeom prst="rect">
          <a:avLst/>
        </a:prstGeom>
      </xdr:spPr>
    </xdr:pic>
    <xdr:clientData/>
  </xdr:twoCellAnchor>
  <xdr:twoCellAnchor editAs="oneCell">
    <xdr:from>
      <xdr:col>20</xdr:col>
      <xdr:colOff>13607</xdr:colOff>
      <xdr:row>136</xdr:row>
      <xdr:rowOff>40822</xdr:rowOff>
    </xdr:from>
    <xdr:to>
      <xdr:col>20</xdr:col>
      <xdr:colOff>897604</xdr:colOff>
      <xdr:row>137</xdr:row>
      <xdr:rowOff>135445</xdr:rowOff>
    </xdr:to>
    <xdr:pic>
      <xdr:nvPicPr>
        <xdr:cNvPr id="8" name="Picture 7">
          <a:extLst>
            <a:ext uri="{FF2B5EF4-FFF2-40B4-BE49-F238E27FC236}">
              <a16:creationId xmlns:a16="http://schemas.microsoft.com/office/drawing/2014/main" id="{D5DC14BF-9BD8-4B79-8D5F-43D05845607A}"/>
            </a:ext>
          </a:extLst>
        </xdr:cNvPr>
        <xdr:cNvPicPr>
          <a:picLocks noChangeAspect="1"/>
        </xdr:cNvPicPr>
      </xdr:nvPicPr>
      <xdr:blipFill>
        <a:blip xmlns:r="http://schemas.openxmlformats.org/officeDocument/2006/relationships" r:embed="rId3"/>
        <a:stretch>
          <a:fillRect/>
        </a:stretch>
      </xdr:blipFill>
      <xdr:spPr>
        <a:xfrm>
          <a:off x="21736957" y="27777622"/>
          <a:ext cx="887172"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D142E87C-4E9F-4032-B56A-18DB1A414B9F}"/>
            </a:ext>
          </a:extLst>
        </xdr:cNvPr>
        <xdr:cNvPicPr>
          <a:picLocks noChangeAspect="1"/>
        </xdr:cNvPicPr>
      </xdr:nvPicPr>
      <xdr:blipFill>
        <a:blip xmlns:r="http://schemas.openxmlformats.org/officeDocument/2006/relationships" r:embed="rId3"/>
        <a:stretch>
          <a:fillRect/>
        </a:stretch>
      </xdr:blipFill>
      <xdr:spPr>
        <a:xfrm>
          <a:off x="21726525" y="12347121"/>
          <a:ext cx="887172"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D3758FF0-ED8D-4053-82C7-49A67C16AC28}"/>
            </a:ext>
          </a:extLst>
        </xdr:cNvPr>
        <xdr:cNvPicPr>
          <a:picLocks noChangeAspect="1"/>
        </xdr:cNvPicPr>
      </xdr:nvPicPr>
      <xdr:blipFill>
        <a:blip xmlns:r="http://schemas.openxmlformats.org/officeDocument/2006/relationships" r:embed="rId4"/>
        <a:stretch>
          <a:fillRect/>
        </a:stretch>
      </xdr:blipFill>
      <xdr:spPr>
        <a:xfrm>
          <a:off x="160111" y="12401550"/>
          <a:ext cx="170703" cy="221490"/>
        </a:xfrm>
        <a:prstGeom prst="rect">
          <a:avLst/>
        </a:prstGeom>
      </xdr:spPr>
    </xdr:pic>
    <xdr:clientData/>
  </xdr:twoCellAnchor>
  <xdr:twoCellAnchor editAs="oneCell">
    <xdr:from>
      <xdr:col>0</xdr:col>
      <xdr:colOff>176893</xdr:colOff>
      <xdr:row>136</xdr:row>
      <xdr:rowOff>122465</xdr:rowOff>
    </xdr:from>
    <xdr:to>
      <xdr:col>1</xdr:col>
      <xdr:colOff>7417</xdr:colOff>
      <xdr:row>137</xdr:row>
      <xdr:rowOff>143930</xdr:rowOff>
    </xdr:to>
    <xdr:pic>
      <xdr:nvPicPr>
        <xdr:cNvPr id="11" name="Picture 10">
          <a:extLst>
            <a:ext uri="{FF2B5EF4-FFF2-40B4-BE49-F238E27FC236}">
              <a16:creationId xmlns:a16="http://schemas.microsoft.com/office/drawing/2014/main" id="{7B802D28-DE91-4B67-A3BE-2E357B493CF7}"/>
            </a:ext>
          </a:extLst>
        </xdr:cNvPr>
        <xdr:cNvPicPr>
          <a:picLocks noChangeAspect="1"/>
        </xdr:cNvPicPr>
      </xdr:nvPicPr>
      <xdr:blipFill>
        <a:blip xmlns:r="http://schemas.openxmlformats.org/officeDocument/2006/relationships" r:embed="rId4"/>
        <a:stretch>
          <a:fillRect/>
        </a:stretch>
      </xdr:blipFill>
      <xdr:spPr>
        <a:xfrm>
          <a:off x="180068" y="27862440"/>
          <a:ext cx="163899" cy="215140"/>
        </a:xfrm>
        <a:prstGeom prst="rect">
          <a:avLst/>
        </a:prstGeom>
      </xdr:spPr>
    </xdr:pic>
    <xdr:clientData/>
  </xdr:twoCellAnchor>
  <xdr:twoCellAnchor editAs="oneCell">
    <xdr:from>
      <xdr:col>0</xdr:col>
      <xdr:colOff>149679</xdr:colOff>
      <xdr:row>197</xdr:row>
      <xdr:rowOff>136071</xdr:rowOff>
    </xdr:from>
    <xdr:to>
      <xdr:col>0</xdr:col>
      <xdr:colOff>314032</xdr:colOff>
      <xdr:row>198</xdr:row>
      <xdr:rowOff>163886</xdr:rowOff>
    </xdr:to>
    <xdr:pic>
      <xdr:nvPicPr>
        <xdr:cNvPr id="12" name="Picture 11">
          <a:extLst>
            <a:ext uri="{FF2B5EF4-FFF2-40B4-BE49-F238E27FC236}">
              <a16:creationId xmlns:a16="http://schemas.microsoft.com/office/drawing/2014/main" id="{DB63A4FD-29C1-4A51-B6E0-9446BA8FBC7C}"/>
            </a:ext>
          </a:extLst>
        </xdr:cNvPr>
        <xdr:cNvPicPr>
          <a:picLocks noChangeAspect="1"/>
        </xdr:cNvPicPr>
      </xdr:nvPicPr>
      <xdr:blipFill>
        <a:blip xmlns:r="http://schemas.openxmlformats.org/officeDocument/2006/relationships" r:embed="rId4"/>
        <a:stretch>
          <a:fillRect/>
        </a:stretch>
      </xdr:blipFill>
      <xdr:spPr>
        <a:xfrm>
          <a:off x="149679" y="40112496"/>
          <a:ext cx="167528" cy="224665"/>
        </a:xfrm>
        <a:prstGeom prst="rect">
          <a:avLst/>
        </a:prstGeom>
      </xdr:spPr>
    </xdr:pic>
    <xdr:clientData/>
  </xdr:twoCellAnchor>
  <xdr:twoCellAnchor editAs="oneCell">
    <xdr:from>
      <xdr:col>0</xdr:col>
      <xdr:colOff>190500</xdr:colOff>
      <xdr:row>322</xdr:row>
      <xdr:rowOff>136072</xdr:rowOff>
    </xdr:from>
    <xdr:to>
      <xdr:col>1</xdr:col>
      <xdr:colOff>21024</xdr:colOff>
      <xdr:row>323</xdr:row>
      <xdr:rowOff>163886</xdr:rowOff>
    </xdr:to>
    <xdr:pic>
      <xdr:nvPicPr>
        <xdr:cNvPr id="13" name="Picture 12">
          <a:extLst>
            <a:ext uri="{FF2B5EF4-FFF2-40B4-BE49-F238E27FC236}">
              <a16:creationId xmlns:a16="http://schemas.microsoft.com/office/drawing/2014/main" id="{E73BD7EB-DB82-41D0-BDF9-82DA41A4988D}"/>
            </a:ext>
          </a:extLst>
        </xdr:cNvPr>
        <xdr:cNvPicPr>
          <a:picLocks noChangeAspect="1"/>
        </xdr:cNvPicPr>
      </xdr:nvPicPr>
      <xdr:blipFill>
        <a:blip xmlns:r="http://schemas.openxmlformats.org/officeDocument/2006/relationships" r:embed="rId4"/>
        <a:stretch>
          <a:fillRect/>
        </a:stretch>
      </xdr:blipFill>
      <xdr:spPr>
        <a:xfrm>
          <a:off x="190500" y="60229297"/>
          <a:ext cx="163899" cy="22466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1095375</xdr:colOff>
      <xdr:row>325</xdr:row>
      <xdr:rowOff>123825</xdr:rowOff>
    </xdr:from>
    <xdr:to>
      <xdr:col>20</xdr:col>
      <xdr:colOff>1895475</xdr:colOff>
      <xdr:row>326</xdr:row>
      <xdr:rowOff>152400</xdr:rowOff>
    </xdr:to>
    <xdr:pic>
      <xdr:nvPicPr>
        <xdr:cNvPr id="2" name="Picture 1" descr="C:\WINDOWS\TEMP\~0003946.gif">
          <a:extLst>
            <a:ext uri="{FF2B5EF4-FFF2-40B4-BE49-F238E27FC236}">
              <a16:creationId xmlns:a16="http://schemas.microsoft.com/office/drawing/2014/main" id="{22BA8114-BEE9-46AD-9DCA-41EB18D970E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4425" y="652145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198</xdr:row>
      <xdr:rowOff>152400</xdr:rowOff>
    </xdr:from>
    <xdr:to>
      <xdr:col>20</xdr:col>
      <xdr:colOff>1924050</xdr:colOff>
      <xdr:row>199</xdr:row>
      <xdr:rowOff>180975</xdr:rowOff>
    </xdr:to>
    <xdr:pic>
      <xdr:nvPicPr>
        <xdr:cNvPr id="3" name="Picture 2" descr="C:\WINDOWS\TEMP\~0003946.gif">
          <a:extLst>
            <a:ext uri="{FF2B5EF4-FFF2-40B4-BE49-F238E27FC236}">
              <a16:creationId xmlns:a16="http://schemas.microsoft.com/office/drawing/2014/main" id="{AC782369-054C-4ACE-B152-C507F34817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7600" y="40128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137</xdr:row>
      <xdr:rowOff>161925</xdr:rowOff>
    </xdr:from>
    <xdr:to>
      <xdr:col>20</xdr:col>
      <xdr:colOff>1952625</xdr:colOff>
      <xdr:row>138</xdr:row>
      <xdr:rowOff>190500</xdr:rowOff>
    </xdr:to>
    <xdr:pic>
      <xdr:nvPicPr>
        <xdr:cNvPr id="4" name="Picture 3" descr="C:\WINDOWS\TEMP\~0003946.gif">
          <a:extLst>
            <a:ext uri="{FF2B5EF4-FFF2-40B4-BE49-F238E27FC236}">
              <a16:creationId xmlns:a16="http://schemas.microsoft.com/office/drawing/2014/main" id="{DC1662CC-98DF-4573-BB84-170F5B32F05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4425" y="27895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06598A72-45F0-4E81-BAFE-475442B789F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704425"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13607</xdr:colOff>
      <xdr:row>324</xdr:row>
      <xdr:rowOff>231322</xdr:rowOff>
    </xdr:from>
    <xdr:to>
      <xdr:col>20</xdr:col>
      <xdr:colOff>897604</xdr:colOff>
      <xdr:row>326</xdr:row>
      <xdr:rowOff>84192</xdr:rowOff>
    </xdr:to>
    <xdr:pic>
      <xdr:nvPicPr>
        <xdr:cNvPr id="6" name="Picture 5">
          <a:extLst>
            <a:ext uri="{FF2B5EF4-FFF2-40B4-BE49-F238E27FC236}">
              <a16:creationId xmlns:a16="http://schemas.microsoft.com/office/drawing/2014/main" id="{EE4EAE1B-A9E6-45E7-83FC-F55F74FEE0B1}"/>
            </a:ext>
          </a:extLst>
        </xdr:cNvPr>
        <xdr:cNvPicPr>
          <a:picLocks noChangeAspect="1"/>
        </xdr:cNvPicPr>
      </xdr:nvPicPr>
      <xdr:blipFill>
        <a:blip xmlns:r="http://schemas.openxmlformats.org/officeDocument/2006/relationships" r:embed="rId3"/>
        <a:stretch>
          <a:fillRect/>
        </a:stretch>
      </xdr:blipFill>
      <xdr:spPr>
        <a:xfrm>
          <a:off x="21736957" y="65087047"/>
          <a:ext cx="887172" cy="294195"/>
        </a:xfrm>
        <a:prstGeom prst="rect">
          <a:avLst/>
        </a:prstGeom>
      </xdr:spPr>
    </xdr:pic>
    <xdr:clientData/>
  </xdr:twoCellAnchor>
  <xdr:twoCellAnchor editAs="oneCell">
    <xdr:from>
      <xdr:col>20</xdr:col>
      <xdr:colOff>0</xdr:colOff>
      <xdr:row>198</xdr:row>
      <xdr:rowOff>54428</xdr:rowOff>
    </xdr:from>
    <xdr:to>
      <xdr:col>20</xdr:col>
      <xdr:colOff>883997</xdr:colOff>
      <xdr:row>199</xdr:row>
      <xdr:rowOff>142701</xdr:rowOff>
    </xdr:to>
    <xdr:pic>
      <xdr:nvPicPr>
        <xdr:cNvPr id="7" name="Picture 6">
          <a:extLst>
            <a:ext uri="{FF2B5EF4-FFF2-40B4-BE49-F238E27FC236}">
              <a16:creationId xmlns:a16="http://schemas.microsoft.com/office/drawing/2014/main" id="{22062B26-9B5F-4444-8CA3-926F27354DF3}"/>
            </a:ext>
          </a:extLst>
        </xdr:cNvPr>
        <xdr:cNvPicPr>
          <a:picLocks noChangeAspect="1"/>
        </xdr:cNvPicPr>
      </xdr:nvPicPr>
      <xdr:blipFill>
        <a:blip xmlns:r="http://schemas.openxmlformats.org/officeDocument/2006/relationships" r:embed="rId3"/>
        <a:stretch>
          <a:fillRect/>
        </a:stretch>
      </xdr:blipFill>
      <xdr:spPr>
        <a:xfrm>
          <a:off x="21726525" y="40030853"/>
          <a:ext cx="887172" cy="291473"/>
        </a:xfrm>
        <a:prstGeom prst="rect">
          <a:avLst/>
        </a:prstGeom>
      </xdr:spPr>
    </xdr:pic>
    <xdr:clientData/>
  </xdr:twoCellAnchor>
  <xdr:twoCellAnchor editAs="oneCell">
    <xdr:from>
      <xdr:col>20</xdr:col>
      <xdr:colOff>13607</xdr:colOff>
      <xdr:row>137</xdr:row>
      <xdr:rowOff>40822</xdr:rowOff>
    </xdr:from>
    <xdr:to>
      <xdr:col>20</xdr:col>
      <xdr:colOff>897604</xdr:colOff>
      <xdr:row>138</xdr:row>
      <xdr:rowOff>135446</xdr:rowOff>
    </xdr:to>
    <xdr:pic>
      <xdr:nvPicPr>
        <xdr:cNvPr id="8" name="Picture 7">
          <a:extLst>
            <a:ext uri="{FF2B5EF4-FFF2-40B4-BE49-F238E27FC236}">
              <a16:creationId xmlns:a16="http://schemas.microsoft.com/office/drawing/2014/main" id="{E8278C9D-E1DA-4C69-B0BF-87036FE37DFB}"/>
            </a:ext>
          </a:extLst>
        </xdr:cNvPr>
        <xdr:cNvPicPr>
          <a:picLocks noChangeAspect="1"/>
        </xdr:cNvPicPr>
      </xdr:nvPicPr>
      <xdr:blipFill>
        <a:blip xmlns:r="http://schemas.openxmlformats.org/officeDocument/2006/relationships" r:embed="rId3"/>
        <a:stretch>
          <a:fillRect/>
        </a:stretch>
      </xdr:blipFill>
      <xdr:spPr>
        <a:xfrm>
          <a:off x="21736957" y="27777622"/>
          <a:ext cx="887172" cy="294648"/>
        </a:xfrm>
        <a:prstGeom prst="rect">
          <a:avLst/>
        </a:prstGeom>
      </xdr:spPr>
    </xdr:pic>
    <xdr:clientData/>
  </xdr:twoCellAnchor>
  <xdr:twoCellAnchor editAs="oneCell">
    <xdr:from>
      <xdr:col>20</xdr:col>
      <xdr:colOff>0</xdr:colOff>
      <xdr:row>61</xdr:row>
      <xdr:rowOff>40821</xdr:rowOff>
    </xdr:from>
    <xdr:to>
      <xdr:col>20</xdr:col>
      <xdr:colOff>883997</xdr:colOff>
      <xdr:row>62</xdr:row>
      <xdr:rowOff>135444</xdr:rowOff>
    </xdr:to>
    <xdr:pic>
      <xdr:nvPicPr>
        <xdr:cNvPr id="9" name="Picture 8">
          <a:extLst>
            <a:ext uri="{FF2B5EF4-FFF2-40B4-BE49-F238E27FC236}">
              <a16:creationId xmlns:a16="http://schemas.microsoft.com/office/drawing/2014/main" id="{A1CF1CB3-E24E-4B64-B46B-E24A3886933D}"/>
            </a:ext>
          </a:extLst>
        </xdr:cNvPr>
        <xdr:cNvPicPr>
          <a:picLocks noChangeAspect="1"/>
        </xdr:cNvPicPr>
      </xdr:nvPicPr>
      <xdr:blipFill>
        <a:blip xmlns:r="http://schemas.openxmlformats.org/officeDocument/2006/relationships" r:embed="rId3"/>
        <a:stretch>
          <a:fillRect/>
        </a:stretch>
      </xdr:blipFill>
      <xdr:spPr>
        <a:xfrm>
          <a:off x="21726525" y="12347121"/>
          <a:ext cx="887172" cy="294648"/>
        </a:xfrm>
        <a:prstGeom prst="rect">
          <a:avLst/>
        </a:prstGeom>
      </xdr:spPr>
    </xdr:pic>
    <xdr:clientData/>
  </xdr:twoCellAnchor>
  <xdr:twoCellAnchor editAs="oneCell">
    <xdr:from>
      <xdr:col>0</xdr:col>
      <xdr:colOff>163286</xdr:colOff>
      <xdr:row>61</xdr:row>
      <xdr:rowOff>95250</xdr:rowOff>
    </xdr:from>
    <xdr:to>
      <xdr:col>0</xdr:col>
      <xdr:colOff>333989</xdr:colOff>
      <xdr:row>62</xdr:row>
      <xdr:rowOff>116715</xdr:rowOff>
    </xdr:to>
    <xdr:pic>
      <xdr:nvPicPr>
        <xdr:cNvPr id="10" name="Picture 9">
          <a:extLst>
            <a:ext uri="{FF2B5EF4-FFF2-40B4-BE49-F238E27FC236}">
              <a16:creationId xmlns:a16="http://schemas.microsoft.com/office/drawing/2014/main" id="{B498BD3A-77E0-40C4-8BDC-3049C1EEE94A}"/>
            </a:ext>
          </a:extLst>
        </xdr:cNvPr>
        <xdr:cNvPicPr>
          <a:picLocks noChangeAspect="1"/>
        </xdr:cNvPicPr>
      </xdr:nvPicPr>
      <xdr:blipFill>
        <a:blip xmlns:r="http://schemas.openxmlformats.org/officeDocument/2006/relationships" r:embed="rId4"/>
        <a:stretch>
          <a:fillRect/>
        </a:stretch>
      </xdr:blipFill>
      <xdr:spPr>
        <a:xfrm>
          <a:off x="160111" y="12401550"/>
          <a:ext cx="170703" cy="221490"/>
        </a:xfrm>
        <a:prstGeom prst="rect">
          <a:avLst/>
        </a:prstGeom>
      </xdr:spPr>
    </xdr:pic>
    <xdr:clientData/>
  </xdr:twoCellAnchor>
  <xdr:twoCellAnchor editAs="oneCell">
    <xdr:from>
      <xdr:col>0</xdr:col>
      <xdr:colOff>176893</xdr:colOff>
      <xdr:row>137</xdr:row>
      <xdr:rowOff>122465</xdr:rowOff>
    </xdr:from>
    <xdr:to>
      <xdr:col>1</xdr:col>
      <xdr:colOff>7417</xdr:colOff>
      <xdr:row>138</xdr:row>
      <xdr:rowOff>143931</xdr:rowOff>
    </xdr:to>
    <xdr:pic>
      <xdr:nvPicPr>
        <xdr:cNvPr id="11" name="Picture 10">
          <a:extLst>
            <a:ext uri="{FF2B5EF4-FFF2-40B4-BE49-F238E27FC236}">
              <a16:creationId xmlns:a16="http://schemas.microsoft.com/office/drawing/2014/main" id="{0190F8BF-BD01-40F3-A4D3-78860CC938A0}"/>
            </a:ext>
          </a:extLst>
        </xdr:cNvPr>
        <xdr:cNvPicPr>
          <a:picLocks noChangeAspect="1"/>
        </xdr:cNvPicPr>
      </xdr:nvPicPr>
      <xdr:blipFill>
        <a:blip xmlns:r="http://schemas.openxmlformats.org/officeDocument/2006/relationships" r:embed="rId4"/>
        <a:stretch>
          <a:fillRect/>
        </a:stretch>
      </xdr:blipFill>
      <xdr:spPr>
        <a:xfrm>
          <a:off x="180068" y="27862440"/>
          <a:ext cx="163899" cy="215140"/>
        </a:xfrm>
        <a:prstGeom prst="rect">
          <a:avLst/>
        </a:prstGeom>
      </xdr:spPr>
    </xdr:pic>
    <xdr:clientData/>
  </xdr:twoCellAnchor>
  <xdr:twoCellAnchor editAs="oneCell">
    <xdr:from>
      <xdr:col>0</xdr:col>
      <xdr:colOff>149679</xdr:colOff>
      <xdr:row>198</xdr:row>
      <xdr:rowOff>136071</xdr:rowOff>
    </xdr:from>
    <xdr:to>
      <xdr:col>0</xdr:col>
      <xdr:colOff>314032</xdr:colOff>
      <xdr:row>199</xdr:row>
      <xdr:rowOff>163886</xdr:rowOff>
    </xdr:to>
    <xdr:pic>
      <xdr:nvPicPr>
        <xdr:cNvPr id="12" name="Picture 11">
          <a:extLst>
            <a:ext uri="{FF2B5EF4-FFF2-40B4-BE49-F238E27FC236}">
              <a16:creationId xmlns:a16="http://schemas.microsoft.com/office/drawing/2014/main" id="{C3234FA1-46D1-43F4-AAA9-ED9B4CFBB99F}"/>
            </a:ext>
          </a:extLst>
        </xdr:cNvPr>
        <xdr:cNvPicPr>
          <a:picLocks noChangeAspect="1"/>
        </xdr:cNvPicPr>
      </xdr:nvPicPr>
      <xdr:blipFill>
        <a:blip xmlns:r="http://schemas.openxmlformats.org/officeDocument/2006/relationships" r:embed="rId4"/>
        <a:stretch>
          <a:fillRect/>
        </a:stretch>
      </xdr:blipFill>
      <xdr:spPr>
        <a:xfrm>
          <a:off x="149679" y="40112496"/>
          <a:ext cx="167528" cy="224665"/>
        </a:xfrm>
        <a:prstGeom prst="rect">
          <a:avLst/>
        </a:prstGeom>
      </xdr:spPr>
    </xdr:pic>
    <xdr:clientData/>
  </xdr:twoCellAnchor>
  <xdr:twoCellAnchor editAs="oneCell">
    <xdr:from>
      <xdr:col>0</xdr:col>
      <xdr:colOff>190500</xdr:colOff>
      <xdr:row>325</xdr:row>
      <xdr:rowOff>136072</xdr:rowOff>
    </xdr:from>
    <xdr:to>
      <xdr:col>1</xdr:col>
      <xdr:colOff>21024</xdr:colOff>
      <xdr:row>326</xdr:row>
      <xdr:rowOff>163886</xdr:rowOff>
    </xdr:to>
    <xdr:pic>
      <xdr:nvPicPr>
        <xdr:cNvPr id="13" name="Picture 12">
          <a:extLst>
            <a:ext uri="{FF2B5EF4-FFF2-40B4-BE49-F238E27FC236}">
              <a16:creationId xmlns:a16="http://schemas.microsoft.com/office/drawing/2014/main" id="{B7A10BFC-D97B-48F5-AA34-E3ADE5BECFF0}"/>
            </a:ext>
          </a:extLst>
        </xdr:cNvPr>
        <xdr:cNvPicPr>
          <a:picLocks noChangeAspect="1"/>
        </xdr:cNvPicPr>
      </xdr:nvPicPr>
      <xdr:blipFill>
        <a:blip xmlns:r="http://schemas.openxmlformats.org/officeDocument/2006/relationships" r:embed="rId4"/>
        <a:stretch>
          <a:fillRect/>
        </a:stretch>
      </xdr:blipFill>
      <xdr:spPr>
        <a:xfrm>
          <a:off x="190500" y="65229922"/>
          <a:ext cx="163899" cy="2246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6785" name="Picture 1" descr="C:\WINDOWS\TEMP\Symbol.gif">
          <a:extLst>
            <a:ext uri="{FF2B5EF4-FFF2-40B4-BE49-F238E27FC236}">
              <a16:creationId xmlns:a16="http://schemas.microsoft.com/office/drawing/2014/main" id="{00000000-0008-0000-0500-0000E1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66786" name="Picture 2" descr="C:\WINDOWS\TEMP\Symbol.gif">
          <a:extLst>
            <a:ext uri="{FF2B5EF4-FFF2-40B4-BE49-F238E27FC236}">
              <a16:creationId xmlns:a16="http://schemas.microsoft.com/office/drawing/2014/main" id="{00000000-0008-0000-0500-0000E2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6787" name="Picture 3" descr="C:\WINDOWS\TEMP\Symbol.gif">
          <a:extLst>
            <a:ext uri="{FF2B5EF4-FFF2-40B4-BE49-F238E27FC236}">
              <a16:creationId xmlns:a16="http://schemas.microsoft.com/office/drawing/2014/main" id="{00000000-0008-0000-0500-0000E3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6788" name="Picture 4" descr="C:\WINDOWS\TEMP\Symbol.gif">
          <a:extLst>
            <a:ext uri="{FF2B5EF4-FFF2-40B4-BE49-F238E27FC236}">
              <a16:creationId xmlns:a16="http://schemas.microsoft.com/office/drawing/2014/main" id="{00000000-0008-0000-0500-0000E4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66789" name="Picture 5" descr="C:\WINDOWS\TEMP\~0003946.gif">
          <a:extLst>
            <a:ext uri="{FF2B5EF4-FFF2-40B4-BE49-F238E27FC236}">
              <a16:creationId xmlns:a16="http://schemas.microsoft.com/office/drawing/2014/main" id="{00000000-0008-0000-0500-0000E5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66790" name="Picture 6" descr="C:\WINDOWS\TEMP\~0003946.gif">
          <a:extLst>
            <a:ext uri="{FF2B5EF4-FFF2-40B4-BE49-F238E27FC236}">
              <a16:creationId xmlns:a16="http://schemas.microsoft.com/office/drawing/2014/main" id="{00000000-0008-0000-0500-0000E6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66791" name="Picture 7" descr="C:\WINDOWS\TEMP\~0003946.gif">
          <a:extLst>
            <a:ext uri="{FF2B5EF4-FFF2-40B4-BE49-F238E27FC236}">
              <a16:creationId xmlns:a16="http://schemas.microsoft.com/office/drawing/2014/main" id="{00000000-0008-0000-0500-0000E7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6792" name="Picture 8" descr="C:\WINDOWS\TEMP\~0003946.gif">
          <a:extLst>
            <a:ext uri="{FF2B5EF4-FFF2-40B4-BE49-F238E27FC236}">
              <a16:creationId xmlns:a16="http://schemas.microsoft.com/office/drawing/2014/main" id="{00000000-0008-0000-0500-0000E8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6793" name="Picture 9" descr="C:\WINDOWS\TEMP\~0003946.gif">
          <a:extLst>
            <a:ext uri="{FF2B5EF4-FFF2-40B4-BE49-F238E27FC236}">
              <a16:creationId xmlns:a16="http://schemas.microsoft.com/office/drawing/2014/main" id="{00000000-0008-0000-0500-0000E9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66794" name="Picture 10" descr="C:\WINDOWS\TEMP\~0003946.gif">
          <a:extLst>
            <a:ext uri="{FF2B5EF4-FFF2-40B4-BE49-F238E27FC236}">
              <a16:creationId xmlns:a16="http://schemas.microsoft.com/office/drawing/2014/main" id="{00000000-0008-0000-0500-0000EA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66795" name="Picture 11" descr="C:\WINDOWS\TEMP\~0003946.gif">
          <a:extLst>
            <a:ext uri="{FF2B5EF4-FFF2-40B4-BE49-F238E27FC236}">
              <a16:creationId xmlns:a16="http://schemas.microsoft.com/office/drawing/2014/main" id="{00000000-0008-0000-0500-0000EB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66796" name="Picture 12" descr="C:\WINDOWS\TEMP\~0003946.gif">
          <a:extLst>
            <a:ext uri="{FF2B5EF4-FFF2-40B4-BE49-F238E27FC236}">
              <a16:creationId xmlns:a16="http://schemas.microsoft.com/office/drawing/2014/main" id="{00000000-0008-0000-0500-0000EC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6797" name="Picture 13" descr="logoMTL">
          <a:extLst>
            <a:ext uri="{FF2B5EF4-FFF2-40B4-BE49-F238E27FC236}">
              <a16:creationId xmlns:a16="http://schemas.microsoft.com/office/drawing/2014/main" id="{00000000-0008-0000-0500-0000ED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66798" name="Picture 14" descr="logoMTL">
          <a:extLst>
            <a:ext uri="{FF2B5EF4-FFF2-40B4-BE49-F238E27FC236}">
              <a16:creationId xmlns:a16="http://schemas.microsoft.com/office/drawing/2014/main" id="{00000000-0008-0000-0500-0000EE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66799" name="Picture 15" descr="logoMTL">
          <a:extLst>
            <a:ext uri="{FF2B5EF4-FFF2-40B4-BE49-F238E27FC236}">
              <a16:creationId xmlns:a16="http://schemas.microsoft.com/office/drawing/2014/main" id="{00000000-0008-0000-0500-0000EF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66800" name="Picture 16" descr="logoMTL">
          <a:extLst>
            <a:ext uri="{FF2B5EF4-FFF2-40B4-BE49-F238E27FC236}">
              <a16:creationId xmlns:a16="http://schemas.microsoft.com/office/drawing/2014/main" id="{00000000-0008-0000-0500-0000F0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7809" name="Picture 1" descr="C:\WINDOWS\TEMP\Symbol.gif">
          <a:extLst>
            <a:ext uri="{FF2B5EF4-FFF2-40B4-BE49-F238E27FC236}">
              <a16:creationId xmlns:a16="http://schemas.microsoft.com/office/drawing/2014/main" id="{00000000-0008-0000-0600-0000E1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67810" name="Picture 2" descr="C:\WINDOWS\TEMP\Symbol.gif">
          <a:extLst>
            <a:ext uri="{FF2B5EF4-FFF2-40B4-BE49-F238E27FC236}">
              <a16:creationId xmlns:a16="http://schemas.microsoft.com/office/drawing/2014/main" id="{00000000-0008-0000-0600-0000E2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7811" name="Picture 3" descr="C:\WINDOWS\TEMP\Symbol.gif">
          <a:extLst>
            <a:ext uri="{FF2B5EF4-FFF2-40B4-BE49-F238E27FC236}">
              <a16:creationId xmlns:a16="http://schemas.microsoft.com/office/drawing/2014/main" id="{00000000-0008-0000-0600-0000E3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7812" name="Picture 4" descr="C:\WINDOWS\TEMP\Symbol.gif">
          <a:extLst>
            <a:ext uri="{FF2B5EF4-FFF2-40B4-BE49-F238E27FC236}">
              <a16:creationId xmlns:a16="http://schemas.microsoft.com/office/drawing/2014/main" id="{00000000-0008-0000-0600-0000E4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277</xdr:row>
      <xdr:rowOff>123825</xdr:rowOff>
    </xdr:from>
    <xdr:to>
      <xdr:col>20</xdr:col>
      <xdr:colOff>1895475</xdr:colOff>
      <xdr:row>278</xdr:row>
      <xdr:rowOff>152400</xdr:rowOff>
    </xdr:to>
    <xdr:pic>
      <xdr:nvPicPr>
        <xdr:cNvPr id="67813" name="Picture 5" descr="C:\WINDOWS\TEMP\~0003946.gif">
          <a:extLst>
            <a:ext uri="{FF2B5EF4-FFF2-40B4-BE49-F238E27FC236}">
              <a16:creationId xmlns:a16="http://schemas.microsoft.com/office/drawing/2014/main" id="{00000000-0008-0000-0600-0000E5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67814" name="Picture 6" descr="C:\WINDOWS\TEMP\~0003946.gif">
          <a:extLst>
            <a:ext uri="{FF2B5EF4-FFF2-40B4-BE49-F238E27FC236}">
              <a16:creationId xmlns:a16="http://schemas.microsoft.com/office/drawing/2014/main" id="{00000000-0008-0000-0600-0000E6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67815" name="Picture 7" descr="C:\WINDOWS\TEMP\~0003946.gif">
          <a:extLst>
            <a:ext uri="{FF2B5EF4-FFF2-40B4-BE49-F238E27FC236}">
              <a16:creationId xmlns:a16="http://schemas.microsoft.com/office/drawing/2014/main" id="{00000000-0008-0000-0600-0000E7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7816" name="Picture 8" descr="C:\WINDOWS\TEMP\~0003946.gif">
          <a:extLst>
            <a:ext uri="{FF2B5EF4-FFF2-40B4-BE49-F238E27FC236}">
              <a16:creationId xmlns:a16="http://schemas.microsoft.com/office/drawing/2014/main" id="{00000000-0008-0000-0600-0000E8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7817" name="Picture 9" descr="C:\WINDOWS\TEMP\~0003946.gif">
          <a:extLst>
            <a:ext uri="{FF2B5EF4-FFF2-40B4-BE49-F238E27FC236}">
              <a16:creationId xmlns:a16="http://schemas.microsoft.com/office/drawing/2014/main" id="{00000000-0008-0000-0600-0000E9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133</xdr:row>
      <xdr:rowOff>123825</xdr:rowOff>
    </xdr:from>
    <xdr:to>
      <xdr:col>20</xdr:col>
      <xdr:colOff>895350</xdr:colOff>
      <xdr:row>134</xdr:row>
      <xdr:rowOff>152400</xdr:rowOff>
    </xdr:to>
    <xdr:pic>
      <xdr:nvPicPr>
        <xdr:cNvPr id="67818" name="Picture 10" descr="C:\WINDOWS\TEMP\~0003946.gif">
          <a:extLst>
            <a:ext uri="{FF2B5EF4-FFF2-40B4-BE49-F238E27FC236}">
              <a16:creationId xmlns:a16="http://schemas.microsoft.com/office/drawing/2014/main" id="{00000000-0008-0000-0600-0000EA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67819" name="Picture 11" descr="C:\WINDOWS\TEMP\~0003946.gif">
          <a:extLst>
            <a:ext uri="{FF2B5EF4-FFF2-40B4-BE49-F238E27FC236}">
              <a16:creationId xmlns:a16="http://schemas.microsoft.com/office/drawing/2014/main" id="{00000000-0008-0000-0600-0000EB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277</xdr:row>
      <xdr:rowOff>104775</xdr:rowOff>
    </xdr:from>
    <xdr:to>
      <xdr:col>20</xdr:col>
      <xdr:colOff>895350</xdr:colOff>
      <xdr:row>278</xdr:row>
      <xdr:rowOff>133350</xdr:rowOff>
    </xdr:to>
    <xdr:pic>
      <xdr:nvPicPr>
        <xdr:cNvPr id="67820" name="Picture 12" descr="C:\WINDOWS\TEMP\~0003946.gif">
          <a:extLst>
            <a:ext uri="{FF2B5EF4-FFF2-40B4-BE49-F238E27FC236}">
              <a16:creationId xmlns:a16="http://schemas.microsoft.com/office/drawing/2014/main" id="{00000000-0008-0000-0600-0000EC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7821" name="Picture 13" descr="logoMTL">
          <a:extLst>
            <a:ext uri="{FF2B5EF4-FFF2-40B4-BE49-F238E27FC236}">
              <a16:creationId xmlns:a16="http://schemas.microsoft.com/office/drawing/2014/main" id="{00000000-0008-0000-0600-0000E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133</xdr:row>
      <xdr:rowOff>38100</xdr:rowOff>
    </xdr:from>
    <xdr:to>
      <xdr:col>19</xdr:col>
      <xdr:colOff>1171575</xdr:colOff>
      <xdr:row>134</xdr:row>
      <xdr:rowOff>161925</xdr:rowOff>
    </xdr:to>
    <xdr:pic>
      <xdr:nvPicPr>
        <xdr:cNvPr id="67822" name="Picture 14" descr="logoMTL">
          <a:extLst>
            <a:ext uri="{FF2B5EF4-FFF2-40B4-BE49-F238E27FC236}">
              <a16:creationId xmlns:a16="http://schemas.microsoft.com/office/drawing/2014/main" id="{00000000-0008-0000-0600-0000E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67823" name="Picture 15" descr="logoMTL">
          <a:extLst>
            <a:ext uri="{FF2B5EF4-FFF2-40B4-BE49-F238E27FC236}">
              <a16:creationId xmlns:a16="http://schemas.microsoft.com/office/drawing/2014/main" id="{00000000-0008-0000-0600-0000EF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277</xdr:row>
      <xdr:rowOff>0</xdr:rowOff>
    </xdr:from>
    <xdr:to>
      <xdr:col>19</xdr:col>
      <xdr:colOff>1228725</xdr:colOff>
      <xdr:row>278</xdr:row>
      <xdr:rowOff>123825</xdr:rowOff>
    </xdr:to>
    <xdr:pic>
      <xdr:nvPicPr>
        <xdr:cNvPr id="67824" name="Picture 16" descr="logoMTL">
          <a:extLst>
            <a:ext uri="{FF2B5EF4-FFF2-40B4-BE49-F238E27FC236}">
              <a16:creationId xmlns:a16="http://schemas.microsoft.com/office/drawing/2014/main" id="{00000000-0008-0000-0600-0000F0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8833" name="Picture 1" descr="C:\WINDOWS\TEMP\Symbol.gif">
          <a:extLst>
            <a:ext uri="{FF2B5EF4-FFF2-40B4-BE49-F238E27FC236}">
              <a16:creationId xmlns:a16="http://schemas.microsoft.com/office/drawing/2014/main" id="{00000000-0008-0000-0700-0000E1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8834" name="Picture 2" descr="C:\WINDOWS\TEMP\Symbol.gif">
          <a:extLst>
            <a:ext uri="{FF2B5EF4-FFF2-40B4-BE49-F238E27FC236}">
              <a16:creationId xmlns:a16="http://schemas.microsoft.com/office/drawing/2014/main" id="{00000000-0008-0000-0700-0000E2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8835" name="Picture 3" descr="C:\WINDOWS\TEMP\Symbol.gif">
          <a:extLst>
            <a:ext uri="{FF2B5EF4-FFF2-40B4-BE49-F238E27FC236}">
              <a16:creationId xmlns:a16="http://schemas.microsoft.com/office/drawing/2014/main" id="{00000000-0008-0000-0700-0000E3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68836" name="Picture 4" descr="C:\WINDOWS\TEMP\Symbol.gif">
          <a:extLst>
            <a:ext uri="{FF2B5EF4-FFF2-40B4-BE49-F238E27FC236}">
              <a16:creationId xmlns:a16="http://schemas.microsoft.com/office/drawing/2014/main" id="{00000000-0008-0000-0700-0000E4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68837" name="Picture 5" descr="C:\WINDOWS\TEMP\~0003946.gif">
          <a:extLst>
            <a:ext uri="{FF2B5EF4-FFF2-40B4-BE49-F238E27FC236}">
              <a16:creationId xmlns:a16="http://schemas.microsoft.com/office/drawing/2014/main" id="{00000000-0008-0000-0700-0000E5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68838" name="Picture 6" descr="C:\WINDOWS\TEMP\~0003946.gif">
          <a:extLst>
            <a:ext uri="{FF2B5EF4-FFF2-40B4-BE49-F238E27FC236}">
              <a16:creationId xmlns:a16="http://schemas.microsoft.com/office/drawing/2014/main" id="{00000000-0008-0000-0700-0000E6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68839" name="Picture 7" descr="C:\WINDOWS\TEMP\~0003946.gif">
          <a:extLst>
            <a:ext uri="{FF2B5EF4-FFF2-40B4-BE49-F238E27FC236}">
              <a16:creationId xmlns:a16="http://schemas.microsoft.com/office/drawing/2014/main" id="{00000000-0008-0000-0700-0000E7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8840" name="Picture 8" descr="C:\WINDOWS\TEMP\~0003946.gif">
          <a:extLst>
            <a:ext uri="{FF2B5EF4-FFF2-40B4-BE49-F238E27FC236}">
              <a16:creationId xmlns:a16="http://schemas.microsoft.com/office/drawing/2014/main" id="{00000000-0008-0000-0700-0000E8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8841" name="Picture 9" descr="C:\WINDOWS\TEMP\~0003946.gif">
          <a:extLst>
            <a:ext uri="{FF2B5EF4-FFF2-40B4-BE49-F238E27FC236}">
              <a16:creationId xmlns:a16="http://schemas.microsoft.com/office/drawing/2014/main" id="{00000000-0008-0000-0700-0000E9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68842" name="Picture 10" descr="C:\WINDOWS\TEMP\~0003946.gif">
          <a:extLst>
            <a:ext uri="{FF2B5EF4-FFF2-40B4-BE49-F238E27FC236}">
              <a16:creationId xmlns:a16="http://schemas.microsoft.com/office/drawing/2014/main" id="{00000000-0008-0000-0700-0000EA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68843" name="Picture 11" descr="C:\WINDOWS\TEMP\~0003946.gif">
          <a:extLst>
            <a:ext uri="{FF2B5EF4-FFF2-40B4-BE49-F238E27FC236}">
              <a16:creationId xmlns:a16="http://schemas.microsoft.com/office/drawing/2014/main" id="{00000000-0008-0000-0700-0000EB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68844" name="Picture 12" descr="C:\WINDOWS\TEMP\~0003946.gif">
          <a:extLst>
            <a:ext uri="{FF2B5EF4-FFF2-40B4-BE49-F238E27FC236}">
              <a16:creationId xmlns:a16="http://schemas.microsoft.com/office/drawing/2014/main" id="{00000000-0008-0000-0700-0000EC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8845" name="Picture 13" descr="logoMTL">
          <a:extLst>
            <a:ext uri="{FF2B5EF4-FFF2-40B4-BE49-F238E27FC236}">
              <a16:creationId xmlns:a16="http://schemas.microsoft.com/office/drawing/2014/main" id="{00000000-0008-0000-0700-0000ED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68846" name="Picture 14" descr="logoMTL">
          <a:extLst>
            <a:ext uri="{FF2B5EF4-FFF2-40B4-BE49-F238E27FC236}">
              <a16:creationId xmlns:a16="http://schemas.microsoft.com/office/drawing/2014/main" id="{00000000-0008-0000-0700-0000EE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68847" name="Picture 15" descr="logoMTL">
          <a:extLst>
            <a:ext uri="{FF2B5EF4-FFF2-40B4-BE49-F238E27FC236}">
              <a16:creationId xmlns:a16="http://schemas.microsoft.com/office/drawing/2014/main" id="{00000000-0008-0000-0700-0000EF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68848" name="Picture 16" descr="logoMTL">
          <a:extLst>
            <a:ext uri="{FF2B5EF4-FFF2-40B4-BE49-F238E27FC236}">
              <a16:creationId xmlns:a16="http://schemas.microsoft.com/office/drawing/2014/main" id="{00000000-0008-0000-0700-0000F0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9857" name="Picture 1" descr="C:\WINDOWS\TEMP\Symbol.gif">
          <a:extLst>
            <a:ext uri="{FF2B5EF4-FFF2-40B4-BE49-F238E27FC236}">
              <a16:creationId xmlns:a16="http://schemas.microsoft.com/office/drawing/2014/main" id="{00000000-0008-0000-0800-0000E1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9858" name="Picture 2" descr="C:\WINDOWS\TEMP\Symbol.gif">
          <a:extLst>
            <a:ext uri="{FF2B5EF4-FFF2-40B4-BE49-F238E27FC236}">
              <a16:creationId xmlns:a16="http://schemas.microsoft.com/office/drawing/2014/main" id="{00000000-0008-0000-0800-0000E2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9859" name="Picture 3" descr="C:\WINDOWS\TEMP\Symbol.gif">
          <a:extLst>
            <a:ext uri="{FF2B5EF4-FFF2-40B4-BE49-F238E27FC236}">
              <a16:creationId xmlns:a16="http://schemas.microsoft.com/office/drawing/2014/main" id="{00000000-0008-0000-0800-0000E3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69860" name="Picture 4" descr="C:\WINDOWS\TEMP\Symbol.gif">
          <a:extLst>
            <a:ext uri="{FF2B5EF4-FFF2-40B4-BE49-F238E27FC236}">
              <a16:creationId xmlns:a16="http://schemas.microsoft.com/office/drawing/2014/main" id="{00000000-0008-0000-0800-0000E4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278</xdr:row>
      <xdr:rowOff>123825</xdr:rowOff>
    </xdr:from>
    <xdr:to>
      <xdr:col>20</xdr:col>
      <xdr:colOff>1895475</xdr:colOff>
      <xdr:row>279</xdr:row>
      <xdr:rowOff>152400</xdr:rowOff>
    </xdr:to>
    <xdr:pic>
      <xdr:nvPicPr>
        <xdr:cNvPr id="69861" name="Picture 5" descr="C:\WINDOWS\TEMP\~0003946.gif">
          <a:extLst>
            <a:ext uri="{FF2B5EF4-FFF2-40B4-BE49-F238E27FC236}">
              <a16:creationId xmlns:a16="http://schemas.microsoft.com/office/drawing/2014/main" id="{00000000-0008-0000-0800-0000E5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69862" name="Picture 6" descr="C:\WINDOWS\TEMP\~0003946.gif">
          <a:extLst>
            <a:ext uri="{FF2B5EF4-FFF2-40B4-BE49-F238E27FC236}">
              <a16:creationId xmlns:a16="http://schemas.microsoft.com/office/drawing/2014/main" id="{00000000-0008-0000-0800-0000E6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69863" name="Picture 7" descr="C:\WINDOWS\TEMP\~0003946.gif">
          <a:extLst>
            <a:ext uri="{FF2B5EF4-FFF2-40B4-BE49-F238E27FC236}">
              <a16:creationId xmlns:a16="http://schemas.microsoft.com/office/drawing/2014/main" id="{00000000-0008-0000-0800-0000E7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9864" name="Picture 8" descr="C:\WINDOWS\TEMP\~0003946.gif">
          <a:extLst>
            <a:ext uri="{FF2B5EF4-FFF2-40B4-BE49-F238E27FC236}">
              <a16:creationId xmlns:a16="http://schemas.microsoft.com/office/drawing/2014/main" id="{00000000-0008-0000-0800-0000E8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9865" name="Picture 9" descr="C:\WINDOWS\TEMP\~0003946.gif">
          <a:extLst>
            <a:ext uri="{FF2B5EF4-FFF2-40B4-BE49-F238E27FC236}">
              <a16:creationId xmlns:a16="http://schemas.microsoft.com/office/drawing/2014/main" id="{00000000-0008-0000-0800-0000E9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134</xdr:row>
      <xdr:rowOff>123825</xdr:rowOff>
    </xdr:from>
    <xdr:to>
      <xdr:col>20</xdr:col>
      <xdr:colOff>895350</xdr:colOff>
      <xdr:row>135</xdr:row>
      <xdr:rowOff>152400</xdr:rowOff>
    </xdr:to>
    <xdr:pic>
      <xdr:nvPicPr>
        <xdr:cNvPr id="69866" name="Picture 10" descr="C:\WINDOWS\TEMP\~0003946.gif">
          <a:extLst>
            <a:ext uri="{FF2B5EF4-FFF2-40B4-BE49-F238E27FC236}">
              <a16:creationId xmlns:a16="http://schemas.microsoft.com/office/drawing/2014/main" id="{00000000-0008-0000-0800-0000EA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194</xdr:row>
      <xdr:rowOff>104775</xdr:rowOff>
    </xdr:from>
    <xdr:to>
      <xdr:col>20</xdr:col>
      <xdr:colOff>809625</xdr:colOff>
      <xdr:row>195</xdr:row>
      <xdr:rowOff>133350</xdr:rowOff>
    </xdr:to>
    <xdr:pic>
      <xdr:nvPicPr>
        <xdr:cNvPr id="69867" name="Picture 11" descr="C:\WINDOWS\TEMP\~0003946.gif">
          <a:extLst>
            <a:ext uri="{FF2B5EF4-FFF2-40B4-BE49-F238E27FC236}">
              <a16:creationId xmlns:a16="http://schemas.microsoft.com/office/drawing/2014/main" id="{00000000-0008-0000-0800-0000EB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278</xdr:row>
      <xdr:rowOff>104775</xdr:rowOff>
    </xdr:from>
    <xdr:to>
      <xdr:col>20</xdr:col>
      <xdr:colOff>895350</xdr:colOff>
      <xdr:row>279</xdr:row>
      <xdr:rowOff>133350</xdr:rowOff>
    </xdr:to>
    <xdr:pic>
      <xdr:nvPicPr>
        <xdr:cNvPr id="69868" name="Picture 12" descr="C:\WINDOWS\TEMP\~0003946.gif">
          <a:extLst>
            <a:ext uri="{FF2B5EF4-FFF2-40B4-BE49-F238E27FC236}">
              <a16:creationId xmlns:a16="http://schemas.microsoft.com/office/drawing/2014/main" id="{00000000-0008-0000-0800-0000EC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9869" name="Picture 13" descr="logoMTL">
          <a:extLst>
            <a:ext uri="{FF2B5EF4-FFF2-40B4-BE49-F238E27FC236}">
              <a16:creationId xmlns:a16="http://schemas.microsoft.com/office/drawing/2014/main" id="{00000000-0008-0000-0800-0000ED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134</xdr:row>
      <xdr:rowOff>38100</xdr:rowOff>
    </xdr:from>
    <xdr:to>
      <xdr:col>19</xdr:col>
      <xdr:colOff>1171575</xdr:colOff>
      <xdr:row>135</xdr:row>
      <xdr:rowOff>161925</xdr:rowOff>
    </xdr:to>
    <xdr:pic>
      <xdr:nvPicPr>
        <xdr:cNvPr id="69870" name="Picture 14" descr="logoMTL">
          <a:extLst>
            <a:ext uri="{FF2B5EF4-FFF2-40B4-BE49-F238E27FC236}">
              <a16:creationId xmlns:a16="http://schemas.microsoft.com/office/drawing/2014/main" id="{00000000-0008-0000-0800-0000EE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194</xdr:row>
      <xdr:rowOff>28575</xdr:rowOff>
    </xdr:from>
    <xdr:to>
      <xdr:col>19</xdr:col>
      <xdr:colOff>1171575</xdr:colOff>
      <xdr:row>195</xdr:row>
      <xdr:rowOff>152400</xdr:rowOff>
    </xdr:to>
    <xdr:pic>
      <xdr:nvPicPr>
        <xdr:cNvPr id="69871" name="Picture 15" descr="logoMTL">
          <a:extLst>
            <a:ext uri="{FF2B5EF4-FFF2-40B4-BE49-F238E27FC236}">
              <a16:creationId xmlns:a16="http://schemas.microsoft.com/office/drawing/2014/main" id="{00000000-0008-0000-0800-0000EF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278</xdr:row>
      <xdr:rowOff>0</xdr:rowOff>
    </xdr:from>
    <xdr:to>
      <xdr:col>19</xdr:col>
      <xdr:colOff>1228725</xdr:colOff>
      <xdr:row>279</xdr:row>
      <xdr:rowOff>123825</xdr:rowOff>
    </xdr:to>
    <xdr:pic>
      <xdr:nvPicPr>
        <xdr:cNvPr id="69872" name="Picture 16" descr="logoMTL">
          <a:extLst>
            <a:ext uri="{FF2B5EF4-FFF2-40B4-BE49-F238E27FC236}">
              <a16:creationId xmlns:a16="http://schemas.microsoft.com/office/drawing/2014/main" id="{00000000-0008-0000-0800-0000F0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5.x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6.xm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7.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8.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9.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0.xm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5.xm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6.xml"/><Relationship Id="rId4"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7.x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8.xm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9.xm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D2926"/>
  </sheetPr>
  <dimension ref="A1:W278"/>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0.49519999999999997</v>
      </c>
      <c r="R16" s="17" t="s">
        <v>147</v>
      </c>
      <c r="S16" s="138">
        <v>0.50480000000000003</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38798</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2"/>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2"/>
      <c r="T22" s="12"/>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27"/>
      <c r="T23" s="27"/>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27"/>
      <c r="T24" s="27"/>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27"/>
      <c r="T25" s="27"/>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27"/>
      <c r="T26" s="27"/>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27"/>
      <c r="T27" s="27"/>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27"/>
      <c r="T28" s="27"/>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33"/>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33"/>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v>0</v>
      </c>
      <c r="E32" s="32"/>
      <c r="F32" s="31">
        <v>0</v>
      </c>
      <c r="G32" s="31"/>
      <c r="H32" s="124">
        <v>0</v>
      </c>
      <c r="I32" s="31"/>
      <c r="J32" s="31">
        <v>0</v>
      </c>
      <c r="K32" s="31"/>
      <c r="L32" s="124">
        <v>0</v>
      </c>
      <c r="M32" s="31"/>
      <c r="N32" s="129">
        <v>0</v>
      </c>
      <c r="O32" s="31"/>
      <c r="P32" s="124">
        <v>0</v>
      </c>
      <c r="Q32" s="31"/>
      <c r="R32" s="31"/>
      <c r="S32" s="33"/>
      <c r="T32" s="31"/>
      <c r="U32" s="34"/>
      <c r="V32" s="5"/>
    </row>
    <row r="33" spans="1:22" x14ac:dyDescent="0.35">
      <c r="A33" s="24"/>
      <c r="B33" s="29" t="s">
        <v>141</v>
      </c>
      <c r="C33" s="32"/>
      <c r="D33" s="152">
        <f>D37*D31</f>
        <v>1081015.0999999999</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33"/>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v>0</v>
      </c>
      <c r="E35" s="32"/>
      <c r="F35" s="31">
        <v>0</v>
      </c>
      <c r="G35" s="31"/>
      <c r="H35" s="31">
        <v>0</v>
      </c>
      <c r="I35" s="31"/>
      <c r="J35" s="31">
        <v>0</v>
      </c>
      <c r="K35" s="31"/>
      <c r="L35" s="31">
        <v>0</v>
      </c>
      <c r="M35" s="31"/>
      <c r="N35" s="31">
        <v>0</v>
      </c>
      <c r="O35" s="31"/>
      <c r="P35" s="31">
        <v>0</v>
      </c>
      <c r="Q35" s="31"/>
      <c r="R35" s="31"/>
      <c r="S35" s="33"/>
      <c r="T35" s="155">
        <f>SUM(C35:P35)</f>
        <v>0</v>
      </c>
      <c r="U35" s="34"/>
      <c r="V35" s="5"/>
    </row>
    <row r="36" spans="1:22" x14ac:dyDescent="0.35">
      <c r="A36" s="28"/>
      <c r="B36" s="29" t="s">
        <v>298</v>
      </c>
      <c r="C36" s="126"/>
      <c r="D36" s="35">
        <f>D37*D34</f>
        <v>620203.91413599998</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33"/>
      <c r="T36" s="156">
        <f>SUM(C36:P36)</f>
        <v>989460.91413599998</v>
      </c>
      <c r="U36" s="34"/>
      <c r="V36" s="5"/>
    </row>
    <row r="37" spans="1:22" x14ac:dyDescent="0.35">
      <c r="A37" s="24"/>
      <c r="B37" s="122" t="s">
        <v>137</v>
      </c>
      <c r="C37" s="25"/>
      <c r="D37" s="136">
        <v>0.98274099999999998</v>
      </c>
      <c r="E37" s="137"/>
      <c r="F37" s="136">
        <v>1</v>
      </c>
      <c r="G37" s="136"/>
      <c r="H37" s="136">
        <v>1</v>
      </c>
      <c r="I37" s="136"/>
      <c r="J37" s="136">
        <v>1</v>
      </c>
      <c r="K37" s="136"/>
      <c r="L37" s="136">
        <v>1</v>
      </c>
      <c r="M37" s="136"/>
      <c r="N37" s="136">
        <v>1</v>
      </c>
      <c r="O37" s="136"/>
      <c r="P37" s="136">
        <v>1</v>
      </c>
      <c r="Q37" s="30"/>
      <c r="R37" s="30"/>
      <c r="S37" s="27"/>
      <c r="T37" s="27"/>
      <c r="U37" s="25"/>
      <c r="V37" s="5"/>
    </row>
    <row r="38" spans="1:22" x14ac:dyDescent="0.35">
      <c r="A38" s="24"/>
      <c r="B38" s="122" t="s">
        <v>138</v>
      </c>
      <c r="C38" s="25"/>
      <c r="D38" s="136">
        <v>1</v>
      </c>
      <c r="E38" s="137"/>
      <c r="F38" s="136">
        <v>1</v>
      </c>
      <c r="G38" s="136"/>
      <c r="H38" s="136">
        <v>1</v>
      </c>
      <c r="I38" s="136"/>
      <c r="J38" s="136">
        <v>1</v>
      </c>
      <c r="K38" s="136"/>
      <c r="L38" s="136">
        <v>1</v>
      </c>
      <c r="M38" s="136"/>
      <c r="N38" s="136">
        <v>1</v>
      </c>
      <c r="O38" s="136"/>
      <c r="P38" s="136">
        <v>1</v>
      </c>
      <c r="Q38" s="39"/>
      <c r="R38" s="38"/>
      <c r="S38" s="27"/>
      <c r="T38" s="39"/>
      <c r="U38" s="25"/>
      <c r="V38" s="5"/>
    </row>
    <row r="39" spans="1:22" x14ac:dyDescent="0.35">
      <c r="A39" s="24"/>
      <c r="B39" s="25" t="s">
        <v>11</v>
      </c>
      <c r="C39" s="25"/>
      <c r="D39" s="30" t="s">
        <v>237</v>
      </c>
      <c r="E39" s="25"/>
      <c r="F39" s="30" t="s">
        <v>207</v>
      </c>
      <c r="G39" s="30"/>
      <c r="H39" s="30" t="s">
        <v>207</v>
      </c>
      <c r="I39" s="30"/>
      <c r="J39" s="30" t="s">
        <v>208</v>
      </c>
      <c r="K39" s="30"/>
      <c r="L39" s="30" t="s">
        <v>208</v>
      </c>
      <c r="M39" s="30"/>
      <c r="N39" s="30" t="s">
        <v>209</v>
      </c>
      <c r="O39" s="30"/>
      <c r="P39" s="30" t="s">
        <v>209</v>
      </c>
      <c r="Q39" s="39"/>
      <c r="R39" s="38"/>
      <c r="S39" s="27"/>
      <c r="T39" s="27"/>
      <c r="U39" s="25"/>
      <c r="V39" s="5"/>
    </row>
    <row r="40" spans="1:22" x14ac:dyDescent="0.35">
      <c r="A40" s="24"/>
      <c r="B40" s="25" t="s">
        <v>12</v>
      </c>
      <c r="C40" s="25"/>
      <c r="D40" s="38">
        <v>4.5699999999999998E-2</v>
      </c>
      <c r="E40" s="25"/>
      <c r="F40" s="38">
        <v>4.7839800000000002E-2</v>
      </c>
      <c r="G40" s="39"/>
      <c r="H40" s="38">
        <v>2.5579999999999999E-2</v>
      </c>
      <c r="I40" s="39"/>
      <c r="J40" s="38">
        <v>4.8939799999999999E-2</v>
      </c>
      <c r="K40" s="39"/>
      <c r="L40" s="38">
        <v>2.6679999999999999E-2</v>
      </c>
      <c r="M40" s="39"/>
      <c r="N40" s="38">
        <v>5.1739800000000002E-2</v>
      </c>
      <c r="O40" s="39"/>
      <c r="P40" s="38">
        <v>2.9479999999999999E-2</v>
      </c>
      <c r="Q40" s="39"/>
      <c r="R40" s="38"/>
      <c r="S40" s="27"/>
      <c r="T40" s="30"/>
      <c r="U40" s="25"/>
      <c r="V40" s="5"/>
    </row>
    <row r="41" spans="1:22" x14ac:dyDescent="0.35">
      <c r="A41" s="24"/>
      <c r="B41" s="25" t="s">
        <v>13</v>
      </c>
      <c r="C41" s="25"/>
      <c r="D41" s="38">
        <v>0</v>
      </c>
      <c r="E41" s="25"/>
      <c r="F41" s="38">
        <v>0</v>
      </c>
      <c r="G41" s="39"/>
      <c r="H41" s="38">
        <v>0</v>
      </c>
      <c r="I41" s="38"/>
      <c r="J41" s="38">
        <v>0</v>
      </c>
      <c r="K41" s="38"/>
      <c r="L41" s="38">
        <v>0</v>
      </c>
      <c r="M41" s="38"/>
      <c r="N41" s="38">
        <v>0</v>
      </c>
      <c r="O41" s="38"/>
      <c r="P41" s="38">
        <v>0</v>
      </c>
      <c r="Q41" s="39"/>
      <c r="R41" s="38"/>
      <c r="S41" s="27"/>
      <c r="T41" s="39" t="s">
        <v>226</v>
      </c>
      <c r="U41" s="25"/>
      <c r="V41" s="5"/>
    </row>
    <row r="42" spans="1:22" x14ac:dyDescent="0.35">
      <c r="A42" s="24"/>
      <c r="B42" s="25" t="s">
        <v>299</v>
      </c>
      <c r="C42" s="25"/>
      <c r="D42" s="30" t="s">
        <v>235</v>
      </c>
      <c r="E42" s="25"/>
      <c r="F42" s="30" t="s">
        <v>207</v>
      </c>
      <c r="G42" s="30"/>
      <c r="H42" s="30" t="s">
        <v>280</v>
      </c>
      <c r="I42" s="30"/>
      <c r="J42" s="30" t="s">
        <v>208</v>
      </c>
      <c r="K42" s="30"/>
      <c r="L42" s="30" t="s">
        <v>281</v>
      </c>
      <c r="M42" s="30"/>
      <c r="N42" s="30" t="s">
        <v>209</v>
      </c>
      <c r="O42" s="30"/>
      <c r="P42" s="30" t="s">
        <v>236</v>
      </c>
      <c r="Q42" s="39"/>
      <c r="R42" s="38"/>
      <c r="S42" s="27"/>
      <c r="T42" s="27"/>
      <c r="U42" s="25"/>
      <c r="V42" s="5"/>
    </row>
    <row r="43" spans="1:22" x14ac:dyDescent="0.35">
      <c r="A43" s="24"/>
      <c r="B43" s="25" t="s">
        <v>300</v>
      </c>
      <c r="C43" s="110"/>
      <c r="D43" s="38">
        <v>4.6482799999999998E-2</v>
      </c>
      <c r="E43" s="25"/>
      <c r="F43" s="38">
        <v>4.7839800000000002E-2</v>
      </c>
      <c r="G43" s="39"/>
      <c r="H43" s="38">
        <v>4.8064799999999998E-2</v>
      </c>
      <c r="I43" s="39"/>
      <c r="J43" s="38">
        <v>4.8939799999999999E-2</v>
      </c>
      <c r="K43" s="39"/>
      <c r="L43" s="38">
        <v>4.9304800000000003E-2</v>
      </c>
      <c r="M43" s="39"/>
      <c r="N43" s="38">
        <v>5.1739800000000002E-2</v>
      </c>
      <c r="O43" s="39"/>
      <c r="P43" s="38">
        <v>5.23548E-2</v>
      </c>
      <c r="Q43" s="30"/>
      <c r="R43" s="30"/>
      <c r="S43" s="27"/>
      <c r="T43" s="39">
        <f>SUMPRODUCT(D43:P43,D34:P34)/T34</f>
        <v>4.7355469751577693E-2</v>
      </c>
      <c r="U43" s="25"/>
      <c r="V43" s="5"/>
    </row>
    <row r="44" spans="1:22" x14ac:dyDescent="0.35">
      <c r="A44" s="24"/>
      <c r="B44" s="25" t="s">
        <v>301</v>
      </c>
      <c r="C44" s="110"/>
      <c r="D44" s="38">
        <v>0</v>
      </c>
      <c r="E44" s="25"/>
      <c r="F44" s="38">
        <v>0</v>
      </c>
      <c r="G44" s="39"/>
      <c r="H44" s="38">
        <v>0</v>
      </c>
      <c r="I44" s="39"/>
      <c r="J44" s="38">
        <v>0</v>
      </c>
      <c r="K44" s="39"/>
      <c r="L44" s="38">
        <v>0</v>
      </c>
      <c r="M44" s="39"/>
      <c r="N44" s="38">
        <v>0</v>
      </c>
      <c r="O44" s="39"/>
      <c r="P44" s="38">
        <v>0</v>
      </c>
      <c r="Q44" s="30"/>
      <c r="R44" s="30"/>
      <c r="S44" s="27"/>
      <c r="T44" s="27"/>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27"/>
      <c r="T45" s="27"/>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27"/>
      <c r="T46" s="27"/>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0.13054900481426016</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38791</v>
      </c>
      <c r="U56" s="25"/>
      <c r="V56" s="5"/>
    </row>
    <row r="57" spans="1:23" x14ac:dyDescent="0.35">
      <c r="A57" s="24"/>
      <c r="B57" s="25" t="s">
        <v>128</v>
      </c>
      <c r="C57" s="25"/>
      <c r="D57" s="25"/>
      <c r="E57" s="25"/>
      <c r="F57" s="25"/>
      <c r="G57" s="25"/>
      <c r="H57" s="58"/>
      <c r="I57" s="58"/>
      <c r="J57" s="58"/>
      <c r="K57" s="58"/>
      <c r="L57" s="58"/>
      <c r="M57" s="58"/>
      <c r="N57" s="58"/>
      <c r="O57" s="58"/>
      <c r="P57" s="58"/>
      <c r="Q57" s="58"/>
      <c r="R57" s="45"/>
      <c r="S57" s="46"/>
      <c r="T57" s="45"/>
      <c r="U57" s="25"/>
      <c r="V57" s="5"/>
    </row>
    <row r="58" spans="1:23" x14ac:dyDescent="0.35">
      <c r="A58" s="24"/>
      <c r="B58" s="25" t="s">
        <v>129</v>
      </c>
      <c r="C58" s="25"/>
      <c r="D58" s="25"/>
      <c r="E58" s="25"/>
      <c r="F58" s="25"/>
      <c r="G58" s="25"/>
      <c r="H58" s="25"/>
      <c r="I58" s="25"/>
      <c r="J58" s="25"/>
      <c r="K58" s="25"/>
      <c r="L58" s="25"/>
      <c r="M58" s="25"/>
      <c r="N58" s="25"/>
      <c r="O58" s="25"/>
      <c r="P58" s="25">
        <f>+T58-R58+1</f>
        <v>118</v>
      </c>
      <c r="Q58" s="25"/>
      <c r="R58" s="45">
        <v>38673</v>
      </c>
      <c r="S58" s="46"/>
      <c r="T58" s="45">
        <v>38790</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38777</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212</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1000296</v>
      </c>
      <c r="M69" s="34"/>
      <c r="N69" s="34">
        <f>5564+5271+6443+715</f>
        <v>17993</v>
      </c>
      <c r="O69" s="34"/>
      <c r="P69" s="34">
        <f>6443+715</f>
        <v>7158</v>
      </c>
      <c r="Q69" s="34"/>
      <c r="R69" s="34">
        <v>0</v>
      </c>
      <c r="S69" s="34"/>
      <c r="T69" s="53">
        <f>+J69-N69+P69-R69</f>
        <v>989461</v>
      </c>
      <c r="U69" s="25"/>
      <c r="V69" s="5"/>
    </row>
    <row r="70" spans="1:22" x14ac:dyDescent="0.35">
      <c r="A70" s="24"/>
      <c r="B70" s="25" t="s">
        <v>20</v>
      </c>
      <c r="C70" s="34"/>
      <c r="D70" s="34"/>
      <c r="E70" s="34"/>
      <c r="F70" s="34"/>
      <c r="G70" s="34"/>
      <c r="H70" s="34"/>
      <c r="I70" s="34"/>
      <c r="J70" s="34">
        <v>54</v>
      </c>
      <c r="K70" s="34"/>
      <c r="L70" s="53">
        <v>54</v>
      </c>
      <c r="M70" s="34"/>
      <c r="N70" s="34">
        <v>54</v>
      </c>
      <c r="O70" s="34"/>
      <c r="P70" s="34">
        <v>0</v>
      </c>
      <c r="Q70" s="34"/>
      <c r="R70" s="34">
        <v>0</v>
      </c>
      <c r="S70" s="34"/>
      <c r="T70" s="53">
        <f>+J70-N70</f>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1000350</v>
      </c>
      <c r="M72" s="34"/>
      <c r="N72" s="34">
        <f>SUM(N69:N71)</f>
        <v>18047</v>
      </c>
      <c r="O72" s="34"/>
      <c r="P72" s="34">
        <f>SUM(P69:P71)</f>
        <v>7158</v>
      </c>
      <c r="Q72" s="34"/>
      <c r="R72" s="34">
        <f>SUM(R69:R71)</f>
        <v>0</v>
      </c>
      <c r="S72" s="34"/>
      <c r="T72" s="54">
        <f>SUM(T69:T71)</f>
        <v>989461</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3</v>
      </c>
      <c r="M83" s="34"/>
      <c r="N83" s="34">
        <v>-3</v>
      </c>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1000353</v>
      </c>
      <c r="M85" s="34"/>
      <c r="N85" s="34"/>
      <c r="O85" s="34"/>
      <c r="P85" s="34"/>
      <c r="Q85" s="34"/>
      <c r="R85" s="54"/>
      <c r="S85" s="34"/>
      <c r="T85" s="54">
        <f>SUM(T72:T84)</f>
        <v>989461</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+R194</f>
        <v>38776</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3</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17993</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10227+9033-1096-421+20+12-9+1</f>
        <v>17767</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114+67</f>
        <v>181</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314</v>
      </c>
      <c r="U93" s="25"/>
      <c r="V93" s="5"/>
    </row>
    <row r="94" spans="1:22" x14ac:dyDescent="0.35">
      <c r="A94" s="24"/>
      <c r="B94" s="25" t="s">
        <v>142</v>
      </c>
      <c r="C94" s="25"/>
      <c r="D94" s="25"/>
      <c r="E94" s="25"/>
      <c r="F94" s="25"/>
      <c r="G94" s="25"/>
      <c r="H94" s="25"/>
      <c r="I94" s="25"/>
      <c r="J94" s="25"/>
      <c r="K94" s="25"/>
      <c r="L94" s="25"/>
      <c r="M94" s="25"/>
      <c r="N94" s="25"/>
      <c r="O94" s="25"/>
      <c r="P94" s="25"/>
      <c r="Q94" s="25"/>
      <c r="R94" s="34"/>
      <c r="S94" s="25"/>
      <c r="T94" s="53">
        <v>0</v>
      </c>
      <c r="U94" s="25"/>
      <c r="V94" s="5"/>
    </row>
    <row r="95" spans="1:22" x14ac:dyDescent="0.35">
      <c r="A95" s="24"/>
      <c r="B95" s="25" t="s">
        <v>234</v>
      </c>
      <c r="C95" s="25"/>
      <c r="D95" s="25"/>
      <c r="E95" s="25"/>
      <c r="F95" s="25"/>
      <c r="G95" s="25"/>
      <c r="H95" s="25"/>
      <c r="I95" s="25"/>
      <c r="J95" s="25"/>
      <c r="K95" s="25"/>
      <c r="L95" s="25"/>
      <c r="M95" s="25"/>
      <c r="N95" s="25"/>
      <c r="O95" s="25"/>
      <c r="P95" s="25"/>
      <c r="Q95" s="25"/>
      <c r="R95" s="34"/>
      <c r="S95" s="25"/>
      <c r="T95" s="53">
        <v>2131</v>
      </c>
      <c r="U95" s="25"/>
      <c r="V95" s="5"/>
    </row>
    <row r="96" spans="1:22" x14ac:dyDescent="0.35">
      <c r="A96" s="24"/>
      <c r="B96" s="25" t="s">
        <v>30</v>
      </c>
      <c r="C96" s="25"/>
      <c r="D96" s="25"/>
      <c r="E96" s="25"/>
      <c r="F96" s="25"/>
      <c r="G96" s="25"/>
      <c r="H96" s="25"/>
      <c r="I96" s="25"/>
      <c r="J96" s="25"/>
      <c r="K96" s="25"/>
      <c r="L96" s="25"/>
      <c r="M96" s="25"/>
      <c r="N96" s="25"/>
      <c r="O96" s="25"/>
      <c r="P96" s="25"/>
      <c r="Q96" s="25"/>
      <c r="R96" s="34">
        <f>SUM(R89:R95)</f>
        <v>17996</v>
      </c>
      <c r="S96" s="25"/>
      <c r="T96" s="54">
        <f>SUM(T89:T95)</f>
        <v>20393</v>
      </c>
      <c r="U96" s="25"/>
      <c r="V96" s="5"/>
    </row>
    <row r="97" spans="1:23" x14ac:dyDescent="0.35">
      <c r="A97" s="24"/>
      <c r="B97" s="25" t="s">
        <v>170</v>
      </c>
      <c r="C97" s="25"/>
      <c r="D97" s="25"/>
      <c r="E97" s="25"/>
      <c r="F97" s="25"/>
      <c r="G97" s="25"/>
      <c r="H97" s="25"/>
      <c r="I97" s="25"/>
      <c r="J97" s="25"/>
      <c r="K97" s="25"/>
      <c r="L97" s="25"/>
      <c r="M97" s="25"/>
      <c r="N97" s="25"/>
      <c r="O97" s="25"/>
      <c r="P97" s="25"/>
      <c r="Q97" s="25"/>
      <c r="R97" s="34">
        <f>-T97</f>
        <v>-14</v>
      </c>
      <c r="S97" s="25"/>
      <c r="T97" s="54">
        <v>14</v>
      </c>
      <c r="U97" s="25"/>
      <c r="V97" s="5"/>
    </row>
    <row r="98" spans="1:23" x14ac:dyDescent="0.35">
      <c r="A98" s="24"/>
      <c r="B98" s="25" t="s">
        <v>31</v>
      </c>
      <c r="C98" s="25"/>
      <c r="D98" s="25"/>
      <c r="E98" s="25"/>
      <c r="F98" s="25"/>
      <c r="G98" s="25"/>
      <c r="H98" s="25"/>
      <c r="I98" s="25"/>
      <c r="J98" s="25"/>
      <c r="K98" s="25"/>
      <c r="L98" s="25"/>
      <c r="M98" s="25"/>
      <c r="N98" s="25"/>
      <c r="O98" s="25"/>
      <c r="P98" s="25"/>
      <c r="Q98" s="25"/>
      <c r="R98" s="34">
        <f>-T98</f>
        <v>54</v>
      </c>
      <c r="S98" s="25"/>
      <c r="T98" s="53">
        <v>-54</v>
      </c>
      <c r="U98" s="25"/>
      <c r="V98" s="5"/>
    </row>
    <row r="99" spans="1:23" x14ac:dyDescent="0.35">
      <c r="A99" s="24"/>
      <c r="B99" s="25" t="s">
        <v>32</v>
      </c>
      <c r="C99" s="25"/>
      <c r="D99" s="25"/>
      <c r="E99" s="25"/>
      <c r="F99" s="25"/>
      <c r="G99" s="25"/>
      <c r="H99" s="25"/>
      <c r="I99" s="25"/>
      <c r="J99" s="25"/>
      <c r="K99" s="25"/>
      <c r="L99" s="25"/>
      <c r="M99" s="25"/>
      <c r="N99" s="25"/>
      <c r="O99" s="25"/>
      <c r="P99" s="25"/>
      <c r="Q99" s="25"/>
      <c r="R99" s="34">
        <f>R96+R98+R97</f>
        <v>18036</v>
      </c>
      <c r="S99" s="25"/>
      <c r="T99" s="54">
        <f>T96+T98+T97</f>
        <v>20353</v>
      </c>
      <c r="U99" s="25"/>
      <c r="V99" s="5"/>
    </row>
    <row r="100" spans="1:23" x14ac:dyDescent="0.35">
      <c r="A100" s="24"/>
      <c r="B100" s="118" t="s">
        <v>33</v>
      </c>
      <c r="C100" s="25"/>
      <c r="D100" s="25"/>
      <c r="E100" s="25"/>
      <c r="F100" s="25"/>
      <c r="G100" s="25"/>
      <c r="H100" s="25"/>
      <c r="I100" s="25"/>
      <c r="J100" s="25"/>
      <c r="K100" s="25"/>
      <c r="L100" s="25"/>
      <c r="M100" s="25"/>
      <c r="N100" s="25"/>
      <c r="O100" s="25"/>
      <c r="P100" s="25"/>
      <c r="Q100" s="25"/>
      <c r="R100" s="34"/>
      <c r="S100" s="25"/>
      <c r="T100" s="53"/>
      <c r="U100" s="25"/>
      <c r="V100" s="5"/>
    </row>
    <row r="101" spans="1:23" x14ac:dyDescent="0.35">
      <c r="A101" s="24">
        <v>1</v>
      </c>
      <c r="B101" s="25" t="s">
        <v>34</v>
      </c>
      <c r="C101" s="25"/>
      <c r="D101" s="25"/>
      <c r="E101" s="25"/>
      <c r="F101" s="25"/>
      <c r="G101" s="25"/>
      <c r="H101" s="25"/>
      <c r="I101" s="25"/>
      <c r="J101" s="25"/>
      <c r="K101" s="25"/>
      <c r="L101" s="25"/>
      <c r="M101" s="25"/>
      <c r="N101" s="25"/>
      <c r="O101" s="25"/>
      <c r="P101" s="25"/>
      <c r="Q101" s="25"/>
      <c r="R101" s="25"/>
      <c r="S101" s="25"/>
      <c r="T101" s="53">
        <f>-1255-1159</f>
        <v>-2414</v>
      </c>
      <c r="U101" s="25"/>
      <c r="V101" s="5"/>
    </row>
    <row r="102" spans="1:23" x14ac:dyDescent="0.35">
      <c r="A102" s="24">
        <f>+A101+1</f>
        <v>2</v>
      </c>
      <c r="B102" s="25" t="s">
        <v>35</v>
      </c>
      <c r="C102" s="25"/>
      <c r="D102" s="25"/>
      <c r="E102" s="25"/>
      <c r="F102" s="25"/>
      <c r="G102" s="25"/>
      <c r="H102" s="25"/>
      <c r="I102" s="25"/>
      <c r="J102" s="25"/>
      <c r="K102" s="25"/>
      <c r="L102" s="25"/>
      <c r="M102" s="25"/>
      <c r="N102" s="25"/>
      <c r="O102" s="25"/>
      <c r="P102" s="25"/>
      <c r="Q102" s="25"/>
      <c r="R102" s="25"/>
      <c r="S102" s="25"/>
      <c r="T102" s="53">
        <v>-2</v>
      </c>
      <c r="U102" s="25"/>
      <c r="V102" s="5"/>
    </row>
    <row r="103" spans="1:23" x14ac:dyDescent="0.35">
      <c r="A103" s="24">
        <f>+A102+1</f>
        <v>3</v>
      </c>
      <c r="B103" s="25" t="s">
        <v>246</v>
      </c>
      <c r="C103" s="25"/>
      <c r="D103" s="25"/>
      <c r="E103" s="25"/>
      <c r="F103" s="25"/>
      <c r="G103" s="25"/>
      <c r="H103" s="25"/>
      <c r="I103" s="25"/>
      <c r="J103" s="25"/>
      <c r="K103" s="25"/>
      <c r="L103" s="25"/>
      <c r="M103" s="25"/>
      <c r="N103" s="25"/>
      <c r="O103" s="25"/>
      <c r="P103" s="25"/>
      <c r="Q103" s="25"/>
      <c r="R103" s="25"/>
      <c r="S103" s="25"/>
      <c r="T103" s="53">
        <f>-428-1-25</f>
        <v>-454</v>
      </c>
      <c r="U103" s="25"/>
      <c r="V103" s="5"/>
    </row>
    <row r="104" spans="1:23" x14ac:dyDescent="0.35">
      <c r="A104" s="24" t="s">
        <v>134</v>
      </c>
      <c r="B104" s="25" t="s">
        <v>123</v>
      </c>
      <c r="C104" s="25"/>
      <c r="D104" s="25"/>
      <c r="E104" s="25"/>
      <c r="F104" s="25"/>
      <c r="G104" s="25"/>
      <c r="H104" s="25"/>
      <c r="I104" s="25"/>
      <c r="J104" s="25"/>
      <c r="K104" s="25"/>
      <c r="L104" s="25"/>
      <c r="M104" s="25"/>
      <c r="N104" s="25"/>
      <c r="O104" s="25"/>
      <c r="P104" s="25"/>
      <c r="Q104" s="25"/>
      <c r="R104" s="25"/>
      <c r="S104" s="25"/>
      <c r="T104" s="53">
        <v>164</v>
      </c>
      <c r="U104" s="25"/>
      <c r="V104" s="5"/>
    </row>
    <row r="105" spans="1:23" x14ac:dyDescent="0.35">
      <c r="A105" s="24" t="s">
        <v>135</v>
      </c>
      <c r="B105" s="25" t="s">
        <v>169</v>
      </c>
      <c r="C105" s="25"/>
      <c r="D105" s="25"/>
      <c r="E105" s="25"/>
      <c r="F105" s="25"/>
      <c r="G105" s="25"/>
      <c r="H105" s="25"/>
      <c r="I105" s="25"/>
      <c r="J105" s="25"/>
      <c r="K105" s="25"/>
      <c r="L105" s="25"/>
      <c r="M105" s="25"/>
      <c r="N105" s="25"/>
      <c r="O105" s="25"/>
      <c r="P105" s="25"/>
      <c r="Q105" s="25"/>
      <c r="R105" s="25"/>
      <c r="S105" s="25"/>
      <c r="T105" s="53">
        <v>-2</v>
      </c>
      <c r="U105" s="25"/>
      <c r="V105" s="5"/>
    </row>
    <row r="106" spans="1:23" x14ac:dyDescent="0.35">
      <c r="A106" s="24" t="s">
        <v>157</v>
      </c>
      <c r="B106" s="25" t="s">
        <v>217</v>
      </c>
      <c r="C106" s="25"/>
      <c r="D106" s="25"/>
      <c r="E106" s="25"/>
      <c r="F106" s="25"/>
      <c r="G106" s="25"/>
      <c r="H106" s="25"/>
      <c r="I106" s="25"/>
      <c r="J106" s="25"/>
      <c r="K106" s="25"/>
      <c r="L106" s="25"/>
      <c r="M106" s="25"/>
      <c r="N106" s="25"/>
      <c r="O106" s="25"/>
      <c r="P106" s="25"/>
      <c r="Q106" s="25"/>
      <c r="R106" s="25"/>
      <c r="S106" s="25"/>
      <c r="T106" s="53">
        <f>-9484-2330</f>
        <v>-11814</v>
      </c>
      <c r="U106" s="25"/>
      <c r="V106" s="5"/>
      <c r="W106" s="109"/>
    </row>
    <row r="107" spans="1:23" x14ac:dyDescent="0.35">
      <c r="A107" s="24" t="s">
        <v>158</v>
      </c>
      <c r="B107" s="25" t="s">
        <v>213</v>
      </c>
      <c r="C107" s="25"/>
      <c r="D107" s="25"/>
      <c r="E107" s="25"/>
      <c r="F107" s="25"/>
      <c r="G107" s="25"/>
      <c r="H107" s="25"/>
      <c r="I107" s="25"/>
      <c r="J107" s="25"/>
      <c r="K107" s="25"/>
      <c r="L107" s="25"/>
      <c r="M107" s="25"/>
      <c r="N107" s="25"/>
      <c r="O107" s="25"/>
      <c r="P107" s="25"/>
      <c r="Q107" s="25"/>
      <c r="R107" s="25"/>
      <c r="S107" s="25"/>
      <c r="T107" s="53">
        <v>-1624</v>
      </c>
      <c r="U107" s="25"/>
      <c r="V107" s="5"/>
    </row>
    <row r="108" spans="1:23" x14ac:dyDescent="0.35">
      <c r="A108" s="24" t="s">
        <v>247</v>
      </c>
      <c r="B108" s="25" t="s">
        <v>214</v>
      </c>
      <c r="C108" s="25"/>
      <c r="D108" s="25"/>
      <c r="E108" s="25"/>
      <c r="F108" s="25"/>
      <c r="G108" s="25"/>
      <c r="H108" s="25"/>
      <c r="I108" s="25"/>
      <c r="J108" s="25"/>
      <c r="K108" s="25"/>
      <c r="L108" s="25"/>
      <c r="M108" s="25"/>
      <c r="N108" s="25"/>
      <c r="O108" s="25"/>
      <c r="P108" s="25"/>
      <c r="Q108" s="25"/>
      <c r="R108" s="25"/>
      <c r="S108" s="25"/>
      <c r="T108" s="53">
        <v>-210</v>
      </c>
      <c r="U108" s="25"/>
      <c r="V108" s="5"/>
      <c r="W108" s="109"/>
    </row>
    <row r="109" spans="1:23" x14ac:dyDescent="0.35">
      <c r="A109" s="24" t="s">
        <v>248</v>
      </c>
      <c r="B109" s="25" t="s">
        <v>215</v>
      </c>
      <c r="C109" s="25"/>
      <c r="D109" s="25"/>
      <c r="E109" s="25"/>
      <c r="F109" s="25"/>
      <c r="G109" s="25"/>
      <c r="H109" s="25"/>
      <c r="I109" s="25"/>
      <c r="J109" s="25"/>
      <c r="K109" s="25"/>
      <c r="L109" s="25"/>
      <c r="M109" s="25"/>
      <c r="N109" s="25"/>
      <c r="O109" s="25"/>
      <c r="P109" s="25"/>
      <c r="Q109" s="25"/>
      <c r="R109" s="25"/>
      <c r="S109" s="25"/>
      <c r="T109" s="53">
        <v>-490</v>
      </c>
      <c r="U109" s="25"/>
      <c r="V109" s="5"/>
      <c r="W109" s="109"/>
    </row>
    <row r="110" spans="1:23" x14ac:dyDescent="0.35">
      <c r="A110" s="24" t="s">
        <v>249</v>
      </c>
      <c r="B110" s="25" t="s">
        <v>230</v>
      </c>
      <c r="C110" s="25"/>
      <c r="D110" s="25"/>
      <c r="E110" s="25"/>
      <c r="F110" s="25"/>
      <c r="G110" s="25"/>
      <c r="H110" s="25"/>
      <c r="I110" s="25"/>
      <c r="J110" s="25"/>
      <c r="K110" s="25"/>
      <c r="L110" s="25"/>
      <c r="M110" s="25"/>
      <c r="N110" s="25"/>
      <c r="O110" s="25"/>
      <c r="P110" s="25"/>
      <c r="Q110" s="25"/>
      <c r="R110" s="25"/>
      <c r="S110" s="25"/>
      <c r="T110" s="53">
        <v>-315</v>
      </c>
      <c r="U110" s="25"/>
      <c r="V110" s="5"/>
      <c r="W110" s="109"/>
    </row>
    <row r="111" spans="1:23" x14ac:dyDescent="0.35">
      <c r="A111" s="24" t="s">
        <v>250</v>
      </c>
      <c r="B111" s="25" t="s">
        <v>216</v>
      </c>
      <c r="C111" s="25"/>
      <c r="D111" s="25"/>
      <c r="E111" s="25"/>
      <c r="F111" s="25"/>
      <c r="G111" s="25"/>
      <c r="H111" s="25"/>
      <c r="I111" s="25"/>
      <c r="J111" s="25"/>
      <c r="K111" s="25"/>
      <c r="L111" s="25"/>
      <c r="M111" s="25"/>
      <c r="N111" s="25"/>
      <c r="O111" s="25"/>
      <c r="P111" s="25"/>
      <c r="Q111" s="25"/>
      <c r="R111" s="25"/>
      <c r="S111" s="25"/>
      <c r="T111" s="53">
        <v>-861</v>
      </c>
      <c r="U111" s="25"/>
      <c r="V111" s="5"/>
    </row>
    <row r="112" spans="1:23" x14ac:dyDescent="0.35">
      <c r="A112" s="24">
        <v>7</v>
      </c>
      <c r="B112" s="25" t="s">
        <v>36</v>
      </c>
      <c r="C112" s="25"/>
      <c r="D112" s="25"/>
      <c r="E112" s="25"/>
      <c r="F112" s="25"/>
      <c r="G112" s="25"/>
      <c r="H112" s="25"/>
      <c r="I112" s="25"/>
      <c r="J112" s="25"/>
      <c r="K112" s="25"/>
      <c r="L112" s="25"/>
      <c r="M112" s="25"/>
      <c r="N112" s="25"/>
      <c r="O112" s="25"/>
      <c r="P112" s="25"/>
      <c r="Q112" s="25"/>
      <c r="R112" s="25"/>
      <c r="S112" s="25"/>
      <c r="T112" s="53">
        <v>-13</v>
      </c>
      <c r="U112" s="25"/>
      <c r="V112" s="5"/>
    </row>
    <row r="113" spans="1:22" x14ac:dyDescent="0.35">
      <c r="A113" s="24">
        <f t="shared" ref="A113:A118" si="0">+A112+1</f>
        <v>8</v>
      </c>
      <c r="B113" s="25" t="s">
        <v>47</v>
      </c>
      <c r="C113" s="25"/>
      <c r="D113" s="25"/>
      <c r="E113" s="25"/>
      <c r="F113" s="25"/>
      <c r="G113" s="25"/>
      <c r="H113" s="25"/>
      <c r="I113" s="25"/>
      <c r="J113" s="25"/>
      <c r="K113" s="25"/>
      <c r="L113" s="25"/>
      <c r="M113" s="25"/>
      <c r="N113" s="25"/>
      <c r="O113" s="25"/>
      <c r="P113" s="25"/>
      <c r="Q113" s="25"/>
      <c r="R113" s="25"/>
      <c r="S113" s="25"/>
      <c r="T113" s="53">
        <v>0</v>
      </c>
      <c r="U113" s="25"/>
      <c r="V113" s="5"/>
    </row>
    <row r="114" spans="1:22" x14ac:dyDescent="0.35">
      <c r="A114" s="24">
        <f t="shared" si="0"/>
        <v>9</v>
      </c>
      <c r="B114" s="25" t="s">
        <v>132</v>
      </c>
      <c r="C114" s="25"/>
      <c r="D114" s="25"/>
      <c r="E114" s="25"/>
      <c r="F114" s="25"/>
      <c r="G114" s="25"/>
      <c r="H114" s="25"/>
      <c r="I114" s="25"/>
      <c r="J114" s="25"/>
      <c r="K114" s="25"/>
      <c r="L114" s="25"/>
      <c r="M114" s="25"/>
      <c r="N114" s="25"/>
      <c r="O114" s="25"/>
      <c r="P114" s="25"/>
      <c r="Q114" s="25"/>
      <c r="R114" s="25"/>
      <c r="S114" s="25"/>
      <c r="T114" s="53">
        <v>0</v>
      </c>
      <c r="U114" s="25"/>
      <c r="V114" s="5"/>
    </row>
    <row r="115" spans="1:22" x14ac:dyDescent="0.35">
      <c r="A115" s="24">
        <f t="shared" si="0"/>
        <v>10</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11</v>
      </c>
      <c r="B116" s="25" t="s">
        <v>38</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12</v>
      </c>
      <c r="B117" s="25" t="s">
        <v>156</v>
      </c>
      <c r="C117" s="25"/>
      <c r="D117" s="25"/>
      <c r="E117" s="25"/>
      <c r="F117" s="25"/>
      <c r="G117" s="25"/>
      <c r="H117" s="25"/>
      <c r="I117" s="25"/>
      <c r="J117" s="25"/>
      <c r="K117" s="25"/>
      <c r="L117" s="25"/>
      <c r="M117" s="25"/>
      <c r="N117" s="25"/>
      <c r="O117" s="25"/>
      <c r="P117" s="25"/>
      <c r="Q117" s="25"/>
      <c r="R117" s="25"/>
      <c r="S117" s="25"/>
      <c r="T117" s="53">
        <v>-428</v>
      </c>
      <c r="U117" s="25"/>
      <c r="V117" s="5"/>
    </row>
    <row r="118" spans="1:22" x14ac:dyDescent="0.35">
      <c r="A118" s="24">
        <f t="shared" si="0"/>
        <v>13</v>
      </c>
      <c r="B118" s="25" t="s">
        <v>133</v>
      </c>
      <c r="C118" s="25"/>
      <c r="D118" s="25"/>
      <c r="E118" s="25"/>
      <c r="F118" s="25"/>
      <c r="G118" s="25"/>
      <c r="H118" s="25"/>
      <c r="I118" s="25"/>
      <c r="J118" s="25"/>
      <c r="K118" s="25"/>
      <c r="L118" s="25"/>
      <c r="M118" s="25"/>
      <c r="N118" s="25"/>
      <c r="O118" s="25"/>
      <c r="P118" s="25"/>
      <c r="Q118" s="25"/>
      <c r="R118" s="25"/>
      <c r="S118" s="25"/>
      <c r="T118" s="53">
        <f>-T99-SUM(T101:T117)</f>
        <v>-1890</v>
      </c>
      <c r="U118" s="25"/>
      <c r="V118" s="5"/>
    </row>
    <row r="119" spans="1:22" x14ac:dyDescent="0.35">
      <c r="A119" s="24"/>
      <c r="B119" s="118" t="s">
        <v>39</v>
      </c>
      <c r="C119" s="25"/>
      <c r="D119" s="25"/>
      <c r="E119" s="25"/>
      <c r="F119" s="25"/>
      <c r="G119" s="25"/>
      <c r="H119" s="25"/>
      <c r="I119" s="25"/>
      <c r="J119" s="25"/>
      <c r="K119" s="25"/>
      <c r="L119" s="25"/>
      <c r="M119" s="25"/>
      <c r="N119" s="25"/>
      <c r="O119" s="25"/>
      <c r="P119" s="25"/>
      <c r="Q119" s="25"/>
      <c r="R119" s="25"/>
      <c r="S119" s="25"/>
      <c r="T119" s="59"/>
      <c r="U119" s="25"/>
      <c r="V119" s="5"/>
    </row>
    <row r="120" spans="1:22" x14ac:dyDescent="0.35">
      <c r="A120" s="24"/>
      <c r="B120" s="25" t="s">
        <v>184</v>
      </c>
      <c r="C120" s="25"/>
      <c r="D120" s="25"/>
      <c r="E120" s="25"/>
      <c r="F120" s="25"/>
      <c r="G120" s="25"/>
      <c r="H120" s="25"/>
      <c r="I120" s="25"/>
      <c r="J120" s="25"/>
      <c r="K120" s="25"/>
      <c r="L120" s="25"/>
      <c r="M120" s="25"/>
      <c r="N120" s="25"/>
      <c r="O120" s="25"/>
      <c r="P120" s="25"/>
      <c r="Q120" s="25"/>
      <c r="R120" s="34">
        <f>-R178</f>
        <v>-2740</v>
      </c>
      <c r="S120" s="34"/>
      <c r="T120" s="53"/>
      <c r="U120" s="25"/>
      <c r="V120" s="5"/>
    </row>
    <row r="121" spans="1:22" x14ac:dyDescent="0.35">
      <c r="A121" s="24"/>
      <c r="B121" s="25" t="s">
        <v>185</v>
      </c>
      <c r="C121" s="25"/>
      <c r="D121" s="25"/>
      <c r="E121" s="25"/>
      <c r="F121" s="25"/>
      <c r="G121" s="25"/>
      <c r="H121" s="25"/>
      <c r="I121" s="25"/>
      <c r="J121" s="25"/>
      <c r="K121" s="25"/>
      <c r="L121" s="25"/>
      <c r="M121" s="25"/>
      <c r="N121" s="25"/>
      <c r="O121" s="25"/>
      <c r="P121" s="25"/>
      <c r="Q121" s="25"/>
      <c r="R121" s="34">
        <v>-235</v>
      </c>
      <c r="S121" s="34"/>
      <c r="T121" s="53"/>
      <c r="U121" s="25"/>
      <c r="V121" s="5"/>
    </row>
    <row r="122" spans="1:22" x14ac:dyDescent="0.35">
      <c r="A122" s="24"/>
      <c r="B122" s="25" t="s">
        <v>40</v>
      </c>
      <c r="C122" s="25"/>
      <c r="D122" s="25"/>
      <c r="E122" s="25"/>
      <c r="F122" s="25"/>
      <c r="G122" s="25"/>
      <c r="H122" s="25"/>
      <c r="I122" s="25"/>
      <c r="J122" s="25"/>
      <c r="K122" s="25"/>
      <c r="L122" s="25"/>
      <c r="M122" s="25"/>
      <c r="N122" s="25"/>
      <c r="O122" s="25"/>
      <c r="P122" s="25"/>
      <c r="Q122" s="25"/>
      <c r="R122" s="34">
        <f>-Q178</f>
        <v>-4169</v>
      </c>
      <c r="S122" s="34"/>
      <c r="T122" s="53"/>
      <c r="U122" s="25"/>
      <c r="V122" s="5"/>
    </row>
    <row r="123" spans="1:22" x14ac:dyDescent="0.35">
      <c r="A123" s="24"/>
      <c r="B123" s="25" t="s">
        <v>231</v>
      </c>
      <c r="C123" s="25"/>
      <c r="D123" s="25"/>
      <c r="E123" s="25"/>
      <c r="F123" s="25"/>
      <c r="G123" s="25"/>
      <c r="H123" s="25"/>
      <c r="I123" s="25"/>
      <c r="J123" s="25"/>
      <c r="K123" s="25"/>
      <c r="L123" s="25"/>
      <c r="M123" s="25"/>
      <c r="N123" s="25"/>
      <c r="O123" s="25"/>
      <c r="P123" s="25"/>
      <c r="Q123" s="25"/>
      <c r="R123" s="34">
        <v>-10892</v>
      </c>
      <c r="S123" s="34"/>
      <c r="T123" s="53"/>
      <c r="U123" s="25"/>
      <c r="V123" s="5"/>
    </row>
    <row r="124" spans="1:22" x14ac:dyDescent="0.35">
      <c r="A124" s="24"/>
      <c r="B124" s="25" t="s">
        <v>229</v>
      </c>
      <c r="C124" s="25"/>
      <c r="D124" s="25"/>
      <c r="E124" s="25"/>
      <c r="F124" s="25"/>
      <c r="G124" s="25"/>
      <c r="H124" s="25"/>
      <c r="I124" s="25"/>
      <c r="J124" s="25"/>
      <c r="K124" s="25"/>
      <c r="L124" s="25"/>
      <c r="M124" s="25"/>
      <c r="N124" s="25"/>
      <c r="O124" s="25"/>
      <c r="P124" s="25"/>
      <c r="Q124" s="25"/>
      <c r="R124" s="34">
        <v>0</v>
      </c>
      <c r="S124" s="34"/>
      <c r="T124" s="53"/>
      <c r="U124" s="25"/>
      <c r="V124" s="5"/>
    </row>
    <row r="125" spans="1:22" x14ac:dyDescent="0.35">
      <c r="A125" s="24"/>
      <c r="B125" s="25" t="s">
        <v>228</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221</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220</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219</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218</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41</v>
      </c>
      <c r="C130" s="25"/>
      <c r="D130" s="25"/>
      <c r="E130" s="25"/>
      <c r="F130" s="25"/>
      <c r="G130" s="25"/>
      <c r="H130" s="25"/>
      <c r="I130" s="25"/>
      <c r="J130" s="25"/>
      <c r="K130" s="25"/>
      <c r="L130" s="25"/>
      <c r="M130" s="25"/>
      <c r="N130" s="25"/>
      <c r="O130" s="25"/>
      <c r="P130" s="25"/>
      <c r="Q130" s="25"/>
      <c r="R130" s="34">
        <f>SUM(R120:R129)</f>
        <v>-18036</v>
      </c>
      <c r="S130" s="34"/>
      <c r="T130" s="34">
        <f>SUM(T100:T128)</f>
        <v>-20353</v>
      </c>
      <c r="U130" s="25"/>
      <c r="V130" s="5"/>
    </row>
    <row r="131" spans="1:22" x14ac:dyDescent="0.35">
      <c r="A131" s="24"/>
      <c r="B131" s="25" t="s">
        <v>42</v>
      </c>
      <c r="C131" s="25"/>
      <c r="D131" s="25"/>
      <c r="E131" s="25"/>
      <c r="F131" s="25"/>
      <c r="G131" s="25"/>
      <c r="H131" s="25"/>
      <c r="I131" s="25"/>
      <c r="J131" s="25"/>
      <c r="K131" s="25"/>
      <c r="L131" s="25"/>
      <c r="M131" s="25"/>
      <c r="N131" s="25"/>
      <c r="O131" s="25"/>
      <c r="P131" s="25"/>
      <c r="Q131" s="25"/>
      <c r="R131" s="34">
        <f>R99+R130</f>
        <v>0</v>
      </c>
      <c r="S131" s="34"/>
      <c r="T131" s="34">
        <f>T99+T130</f>
        <v>0</v>
      </c>
      <c r="U131" s="25"/>
      <c r="V131" s="5"/>
    </row>
    <row r="132" spans="1:22" x14ac:dyDescent="0.35">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x14ac:dyDescent="0.35">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4">
      <c r="A134" s="101"/>
      <c r="B134" s="102" t="str">
        <f>B64</f>
        <v>PM10 INVESTOR REPORT QUARTER ENDING FEBRUARY 2006</v>
      </c>
      <c r="C134" s="103"/>
      <c r="D134" s="103"/>
      <c r="E134" s="103"/>
      <c r="F134" s="103"/>
      <c r="G134" s="103"/>
      <c r="H134" s="103"/>
      <c r="I134" s="103"/>
      <c r="J134" s="103"/>
      <c r="K134" s="103"/>
      <c r="L134" s="103"/>
      <c r="M134" s="103"/>
      <c r="N134" s="103"/>
      <c r="O134" s="103"/>
      <c r="P134" s="103"/>
      <c r="Q134" s="103"/>
      <c r="R134" s="103"/>
      <c r="S134" s="103"/>
      <c r="T134" s="106"/>
      <c r="U134" s="105"/>
      <c r="V134" s="5"/>
    </row>
    <row r="135" spans="1:22" x14ac:dyDescent="0.35">
      <c r="A135" s="2"/>
      <c r="B135" s="60" t="s">
        <v>43</v>
      </c>
      <c r="C135" s="4"/>
      <c r="D135" s="4"/>
      <c r="E135" s="4"/>
      <c r="F135" s="4"/>
      <c r="G135" s="4"/>
      <c r="H135" s="4"/>
      <c r="I135" s="4"/>
      <c r="J135" s="4"/>
      <c r="K135" s="4"/>
      <c r="L135" s="4"/>
      <c r="M135" s="4"/>
      <c r="N135" s="4"/>
      <c r="O135" s="4"/>
      <c r="P135" s="4"/>
      <c r="Q135" s="4"/>
      <c r="R135" s="4"/>
      <c r="S135" s="4"/>
      <c r="T135" s="50"/>
      <c r="U135" s="4"/>
      <c r="V135" s="5"/>
    </row>
    <row r="136" spans="1:22" x14ac:dyDescent="0.35">
      <c r="A136" s="6"/>
      <c r="B136" s="21"/>
      <c r="C136" s="8"/>
      <c r="D136" s="8"/>
      <c r="E136" s="8"/>
      <c r="F136" s="8"/>
      <c r="G136" s="8"/>
      <c r="H136" s="8"/>
      <c r="I136" s="8"/>
      <c r="J136" s="8"/>
      <c r="K136" s="8"/>
      <c r="L136" s="8"/>
      <c r="M136" s="8"/>
      <c r="N136" s="8"/>
      <c r="O136" s="8"/>
      <c r="P136" s="8"/>
      <c r="Q136" s="8"/>
      <c r="R136" s="8"/>
      <c r="S136" s="8"/>
      <c r="T136" s="52"/>
      <c r="U136" s="8"/>
      <c r="V136" s="5"/>
    </row>
    <row r="137" spans="1:22" x14ac:dyDescent="0.35">
      <c r="A137" s="6"/>
      <c r="B137" s="119" t="s">
        <v>44</v>
      </c>
      <c r="C137" s="8"/>
      <c r="D137" s="8"/>
      <c r="E137" s="8"/>
      <c r="F137" s="8"/>
      <c r="G137" s="8"/>
      <c r="H137" s="8"/>
      <c r="I137" s="8"/>
      <c r="J137" s="8"/>
      <c r="K137" s="8"/>
      <c r="L137" s="8"/>
      <c r="M137" s="8"/>
      <c r="N137" s="8"/>
      <c r="O137" s="8"/>
      <c r="P137" s="8"/>
      <c r="Q137" s="8"/>
      <c r="R137" s="8"/>
      <c r="S137" s="8"/>
      <c r="T137" s="52"/>
      <c r="U137" s="8"/>
      <c r="V137" s="5"/>
    </row>
    <row r="138" spans="1:22" x14ac:dyDescent="0.35">
      <c r="A138" s="24"/>
      <c r="B138" s="25" t="s">
        <v>45</v>
      </c>
      <c r="C138" s="25"/>
      <c r="D138" s="25"/>
      <c r="E138" s="25"/>
      <c r="F138" s="25"/>
      <c r="G138" s="25"/>
      <c r="H138" s="25"/>
      <c r="I138" s="25"/>
      <c r="J138" s="25"/>
      <c r="K138" s="25"/>
      <c r="L138" s="25"/>
      <c r="M138" s="25"/>
      <c r="N138" s="25"/>
      <c r="O138" s="25"/>
      <c r="P138" s="25"/>
      <c r="Q138" s="25"/>
      <c r="R138" s="25"/>
      <c r="S138" s="25"/>
      <c r="T138" s="53">
        <f>+T34*0.0186</f>
        <v>18606.565799999997</v>
      </c>
      <c r="U138" s="25"/>
      <c r="V138" s="5"/>
    </row>
    <row r="139" spans="1:22" x14ac:dyDescent="0.35">
      <c r="A139" s="24"/>
      <c r="B139" s="25" t="s">
        <v>46</v>
      </c>
      <c r="C139" s="25"/>
      <c r="D139" s="25"/>
      <c r="E139" s="25"/>
      <c r="F139" s="25"/>
      <c r="G139" s="25"/>
      <c r="H139" s="25"/>
      <c r="I139" s="25"/>
      <c r="J139" s="25"/>
      <c r="K139" s="25"/>
      <c r="L139" s="25"/>
      <c r="M139" s="25"/>
      <c r="N139" s="25"/>
      <c r="O139" s="25"/>
      <c r="P139" s="25"/>
      <c r="Q139" s="25"/>
      <c r="R139" s="25"/>
      <c r="S139" s="25"/>
      <c r="T139" s="53">
        <v>0</v>
      </c>
      <c r="U139" s="25"/>
      <c r="V139" s="5"/>
    </row>
    <row r="140" spans="1:22" x14ac:dyDescent="0.35">
      <c r="A140" s="24"/>
      <c r="B140" s="25" t="s">
        <v>143</v>
      </c>
      <c r="C140" s="25"/>
      <c r="D140" s="25"/>
      <c r="E140" s="25"/>
      <c r="F140" s="25"/>
      <c r="G140" s="25"/>
      <c r="H140" s="25"/>
      <c r="I140" s="25"/>
      <c r="J140" s="25"/>
      <c r="K140" s="25"/>
      <c r="L140" s="25"/>
      <c r="M140" s="25"/>
      <c r="N140" s="25"/>
      <c r="O140" s="25"/>
      <c r="P140" s="25"/>
      <c r="Q140" s="25"/>
      <c r="R140" s="25"/>
      <c r="S140" s="25"/>
      <c r="T140" s="53">
        <v>0</v>
      </c>
      <c r="U140" s="25"/>
      <c r="V140" s="5"/>
    </row>
    <row r="141" spans="1:22" x14ac:dyDescent="0.35">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131</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186</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47</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136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222</v>
      </c>
      <c r="C146" s="25"/>
      <c r="D146" s="25"/>
      <c r="E146" s="25"/>
      <c r="F146" s="25"/>
      <c r="G146" s="25"/>
      <c r="H146" s="25"/>
      <c r="I146" s="25"/>
      <c r="J146" s="25"/>
      <c r="K146" s="25"/>
      <c r="L146" s="25"/>
      <c r="M146" s="25"/>
      <c r="N146" s="25"/>
      <c r="O146" s="25"/>
      <c r="P146" s="25"/>
      <c r="Q146" s="25"/>
      <c r="R146" s="25"/>
      <c r="S146" s="25"/>
      <c r="T146" s="53">
        <v>0</v>
      </c>
      <c r="U146" s="25"/>
      <c r="V146" s="5"/>
      <c r="W146" s="109"/>
    </row>
    <row r="147" spans="1:23" x14ac:dyDescent="0.35">
      <c r="A147" s="24"/>
      <c r="B147" s="25" t="s">
        <v>48</v>
      </c>
      <c r="C147" s="25"/>
      <c r="D147" s="25"/>
      <c r="E147" s="25"/>
      <c r="F147" s="25"/>
      <c r="G147" s="25"/>
      <c r="H147" s="25"/>
      <c r="I147" s="25"/>
      <c r="J147" s="25"/>
      <c r="K147" s="25"/>
      <c r="L147" s="25"/>
      <c r="M147" s="25"/>
      <c r="N147" s="25"/>
      <c r="O147" s="25"/>
      <c r="P147" s="25"/>
      <c r="Q147" s="25"/>
      <c r="R147" s="25"/>
      <c r="S147" s="25"/>
      <c r="T147" s="53">
        <f>SUM(T138:T146)</f>
        <v>18606.565799999997</v>
      </c>
      <c r="U147" s="25"/>
      <c r="V147" s="5"/>
    </row>
    <row r="148" spans="1:23" x14ac:dyDescent="0.35">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x14ac:dyDescent="0.35">
      <c r="A149" s="24"/>
      <c r="B149" s="139" t="s">
        <v>266</v>
      </c>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25" t="s">
        <v>163</v>
      </c>
      <c r="C150" s="25"/>
      <c r="D150" s="25"/>
      <c r="E150" s="25"/>
      <c r="F150" s="25"/>
      <c r="G150" s="25"/>
      <c r="H150" s="25"/>
      <c r="I150" s="25"/>
      <c r="J150" s="25"/>
      <c r="K150" s="25"/>
      <c r="L150" s="25"/>
      <c r="M150" s="25"/>
      <c r="N150" s="25"/>
      <c r="O150" s="25"/>
      <c r="P150" s="25"/>
      <c r="Q150" s="25"/>
      <c r="R150" s="25"/>
      <c r="S150" s="25"/>
      <c r="T150" s="53">
        <v>5750</v>
      </c>
      <c r="U150" s="25"/>
      <c r="V150" s="5"/>
    </row>
    <row r="151" spans="1:23" x14ac:dyDescent="0.35">
      <c r="A151" s="24"/>
      <c r="B151" s="25" t="s">
        <v>183</v>
      </c>
      <c r="C151" s="25"/>
      <c r="D151" s="25"/>
      <c r="E151" s="25"/>
      <c r="F151" s="25"/>
      <c r="G151" s="25"/>
      <c r="H151" s="25"/>
      <c r="I151" s="25"/>
      <c r="J151" s="25"/>
      <c r="K151" s="25"/>
      <c r="L151" s="25"/>
      <c r="M151" s="25"/>
      <c r="N151" s="25"/>
      <c r="O151" s="25"/>
      <c r="P151" s="25"/>
      <c r="Q151" s="25"/>
      <c r="R151" s="25"/>
      <c r="S151" s="25"/>
      <c r="T151" s="53">
        <v>0</v>
      </c>
      <c r="U151" s="25"/>
      <c r="V151" s="5"/>
    </row>
    <row r="152" spans="1:23" x14ac:dyDescent="0.35">
      <c r="A152" s="24"/>
      <c r="B152" s="25" t="s">
        <v>267</v>
      </c>
      <c r="C152" s="25"/>
      <c r="D152" s="25"/>
      <c r="E152" s="25"/>
      <c r="F152" s="25"/>
      <c r="G152" s="25"/>
      <c r="H152" s="25"/>
      <c r="I152" s="25"/>
      <c r="J152" s="25"/>
      <c r="K152" s="25"/>
      <c r="L152" s="25"/>
      <c r="M152" s="25"/>
      <c r="N152" s="25"/>
      <c r="O152" s="25"/>
      <c r="P152" s="25"/>
      <c r="Q152" s="25"/>
      <c r="R152" s="25"/>
      <c r="S152" s="25"/>
      <c r="T152" s="53">
        <v>5466</v>
      </c>
      <c r="U152" s="25"/>
      <c r="V152" s="5"/>
    </row>
    <row r="153" spans="1:23" x14ac:dyDescent="0.35">
      <c r="A153" s="24"/>
      <c r="B153" s="25"/>
      <c r="C153" s="25"/>
      <c r="D153" s="25"/>
      <c r="E153" s="25"/>
      <c r="F153" s="25"/>
      <c r="G153" s="25"/>
      <c r="H153" s="25"/>
      <c r="I153" s="25"/>
      <c r="J153" s="25"/>
      <c r="K153" s="25"/>
      <c r="L153" s="25"/>
      <c r="M153" s="25"/>
      <c r="N153" s="25"/>
      <c r="O153" s="25"/>
      <c r="P153" s="25"/>
      <c r="Q153" s="25"/>
      <c r="R153" s="25"/>
      <c r="S153" s="25"/>
      <c r="T153" s="53"/>
      <c r="U153" s="25"/>
      <c r="V153" s="5"/>
    </row>
    <row r="154" spans="1:23" x14ac:dyDescent="0.35">
      <c r="A154" s="24"/>
      <c r="B154" s="25"/>
      <c r="C154" s="25"/>
      <c r="D154" s="25"/>
      <c r="E154" s="25"/>
      <c r="F154" s="25"/>
      <c r="G154" s="25"/>
      <c r="H154" s="25"/>
      <c r="I154" s="25"/>
      <c r="J154" s="25"/>
      <c r="K154" s="25"/>
      <c r="L154" s="25"/>
      <c r="M154" s="25"/>
      <c r="N154" s="25"/>
      <c r="O154" s="25"/>
      <c r="P154" s="25"/>
      <c r="Q154" s="25"/>
      <c r="R154" s="25"/>
      <c r="S154" s="25"/>
      <c r="T154" s="61"/>
      <c r="U154" s="25"/>
      <c r="V154" s="5"/>
    </row>
    <row r="155" spans="1:23" x14ac:dyDescent="0.35">
      <c r="A155" s="6"/>
      <c r="B155" s="119" t="s">
        <v>24</v>
      </c>
      <c r="C155" s="8"/>
      <c r="D155" s="8"/>
      <c r="E155" s="8"/>
      <c r="F155" s="8"/>
      <c r="G155" s="8"/>
      <c r="H155" s="8"/>
      <c r="I155" s="8"/>
      <c r="J155" s="8"/>
      <c r="K155" s="8"/>
      <c r="L155" s="8"/>
      <c r="M155" s="8"/>
      <c r="N155" s="8"/>
      <c r="O155" s="8"/>
      <c r="P155" s="8"/>
      <c r="Q155" s="8"/>
      <c r="R155" s="8"/>
      <c r="S155" s="8"/>
      <c r="T155" s="52"/>
      <c r="U155" s="8"/>
      <c r="V155" s="5"/>
    </row>
    <row r="156" spans="1:23" x14ac:dyDescent="0.35">
      <c r="A156" s="24"/>
      <c r="B156" s="25" t="s">
        <v>49</v>
      </c>
      <c r="C156" s="25"/>
      <c r="D156" s="25"/>
      <c r="E156" s="25"/>
      <c r="F156" s="25"/>
      <c r="G156" s="25"/>
      <c r="H156" s="25"/>
      <c r="I156" s="25"/>
      <c r="J156" s="25"/>
      <c r="K156" s="25"/>
      <c r="L156" s="25"/>
      <c r="M156" s="25"/>
      <c r="N156" s="25"/>
      <c r="O156" s="25"/>
      <c r="P156" s="25"/>
      <c r="Q156" s="25"/>
      <c r="R156" s="25"/>
      <c r="S156" s="25"/>
      <c r="T156" s="59" t="s">
        <v>125</v>
      </c>
      <c r="U156" s="25"/>
      <c r="V156" s="5"/>
    </row>
    <row r="157" spans="1:23" x14ac:dyDescent="0.35">
      <c r="A157" s="24"/>
      <c r="B157" s="25" t="s">
        <v>50</v>
      </c>
      <c r="C157" s="27"/>
      <c r="D157" s="27"/>
      <c r="E157" s="27"/>
      <c r="F157" s="27"/>
      <c r="G157" s="27"/>
      <c r="H157" s="27"/>
      <c r="I157" s="27"/>
      <c r="J157" s="27"/>
      <c r="K157" s="27"/>
      <c r="L157" s="27"/>
      <c r="M157" s="27"/>
      <c r="N157" s="27"/>
      <c r="O157" s="27"/>
      <c r="P157" s="27"/>
      <c r="Q157" s="27"/>
      <c r="R157" s="27"/>
      <c r="S157" s="27"/>
      <c r="T157" s="59" t="s">
        <v>125</v>
      </c>
      <c r="U157" s="25"/>
      <c r="V157" s="5"/>
    </row>
    <row r="158" spans="1:23" x14ac:dyDescent="0.35">
      <c r="A158" s="24"/>
      <c r="B158" s="25" t="s">
        <v>51</v>
      </c>
      <c r="C158" s="25"/>
      <c r="D158" s="25"/>
      <c r="E158" s="25"/>
      <c r="F158" s="25"/>
      <c r="G158" s="25"/>
      <c r="H158" s="25"/>
      <c r="I158" s="25"/>
      <c r="J158" s="25"/>
      <c r="K158" s="25"/>
      <c r="L158" s="25"/>
      <c r="M158" s="25"/>
      <c r="N158" s="25"/>
      <c r="O158" s="25"/>
      <c r="P158" s="25"/>
      <c r="Q158" s="25"/>
      <c r="R158" s="25"/>
      <c r="S158" s="25"/>
      <c r="T158" s="59" t="s">
        <v>125</v>
      </c>
      <c r="U158" s="25"/>
      <c r="V158" s="5"/>
    </row>
    <row r="159" spans="1:23" x14ac:dyDescent="0.35">
      <c r="A159" s="24"/>
      <c r="B159" s="25" t="s">
        <v>52</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c r="C160" s="25"/>
      <c r="D160" s="25"/>
      <c r="E160" s="25"/>
      <c r="F160" s="25"/>
      <c r="G160" s="25"/>
      <c r="H160" s="25"/>
      <c r="I160" s="25"/>
      <c r="J160" s="25"/>
      <c r="K160" s="25"/>
      <c r="L160" s="25"/>
      <c r="M160" s="25"/>
      <c r="N160" s="25"/>
      <c r="O160" s="25"/>
      <c r="P160" s="25"/>
      <c r="Q160" s="25"/>
      <c r="R160" s="25"/>
      <c r="S160" s="25"/>
      <c r="T160" s="61"/>
      <c r="U160" s="25"/>
      <c r="V160" s="5"/>
    </row>
    <row r="161" spans="1:22" x14ac:dyDescent="0.35">
      <c r="A161" s="6"/>
      <c r="B161" s="119" t="s">
        <v>53</v>
      </c>
      <c r="C161" s="8"/>
      <c r="D161" s="8"/>
      <c r="E161" s="8"/>
      <c r="F161" s="8"/>
      <c r="G161" s="8"/>
      <c r="H161" s="8"/>
      <c r="I161" s="8"/>
      <c r="J161" s="8"/>
      <c r="K161" s="8"/>
      <c r="L161" s="8"/>
      <c r="M161" s="8"/>
      <c r="N161" s="8"/>
      <c r="O161" s="8"/>
      <c r="P161" s="8"/>
      <c r="Q161" s="8"/>
      <c r="R161" s="8"/>
      <c r="S161" s="8"/>
      <c r="T161" s="63"/>
      <c r="U161" s="8"/>
      <c r="V161" s="5"/>
    </row>
    <row r="162" spans="1:22" x14ac:dyDescent="0.35">
      <c r="A162" s="24"/>
      <c r="B162" s="25" t="s">
        <v>54</v>
      </c>
      <c r="C162" s="25"/>
      <c r="D162" s="25"/>
      <c r="E162" s="25"/>
      <c r="F162" s="25"/>
      <c r="G162" s="25"/>
      <c r="H162" s="25"/>
      <c r="I162" s="25"/>
      <c r="J162" s="25"/>
      <c r="K162" s="25"/>
      <c r="L162" s="25"/>
      <c r="M162" s="25"/>
      <c r="N162" s="25"/>
      <c r="O162" s="25"/>
      <c r="P162" s="25"/>
      <c r="Q162" s="25"/>
      <c r="R162" s="25"/>
      <c r="S162" s="25"/>
      <c r="T162" s="53">
        <v>0</v>
      </c>
      <c r="U162" s="25"/>
      <c r="V162" s="5"/>
    </row>
    <row r="163" spans="1:22" x14ac:dyDescent="0.35">
      <c r="A163" s="24"/>
      <c r="B163" s="25" t="s">
        <v>55</v>
      </c>
      <c r="C163" s="25"/>
      <c r="D163" s="25"/>
      <c r="E163" s="25"/>
      <c r="F163" s="25"/>
      <c r="G163" s="25"/>
      <c r="H163" s="25"/>
      <c r="I163" s="25"/>
      <c r="J163" s="25"/>
      <c r="K163" s="25"/>
      <c r="L163" s="25"/>
      <c r="M163" s="25"/>
      <c r="N163" s="25"/>
      <c r="O163" s="25"/>
      <c r="P163" s="25"/>
      <c r="Q163" s="25"/>
      <c r="R163" s="25"/>
      <c r="S163" s="25"/>
      <c r="T163" s="53">
        <v>0</v>
      </c>
      <c r="U163" s="25"/>
      <c r="V163" s="5"/>
    </row>
    <row r="164" spans="1:22" x14ac:dyDescent="0.35">
      <c r="A164" s="24"/>
      <c r="B164" s="25" t="s">
        <v>56</v>
      </c>
      <c r="C164" s="25"/>
      <c r="D164" s="25"/>
      <c r="E164" s="25"/>
      <c r="F164" s="25"/>
      <c r="G164" s="25"/>
      <c r="H164" s="25"/>
      <c r="I164" s="25"/>
      <c r="J164" s="25"/>
      <c r="K164" s="25"/>
      <c r="L164" s="25"/>
      <c r="M164" s="25"/>
      <c r="N164" s="25"/>
      <c r="O164" s="25"/>
      <c r="P164" s="25"/>
      <c r="Q164" s="25"/>
      <c r="R164" s="25"/>
      <c r="S164" s="25"/>
      <c r="T164" s="53">
        <f>T163+T162</f>
        <v>0</v>
      </c>
      <c r="U164" s="25"/>
      <c r="V164" s="5"/>
    </row>
    <row r="165" spans="1:22" x14ac:dyDescent="0.35">
      <c r="A165" s="24"/>
      <c r="B165" s="25" t="s">
        <v>315</v>
      </c>
      <c r="C165" s="25"/>
      <c r="D165" s="25"/>
      <c r="E165" s="25"/>
      <c r="F165" s="25"/>
      <c r="G165" s="25"/>
      <c r="H165" s="25"/>
      <c r="I165" s="25"/>
      <c r="J165" s="25"/>
      <c r="K165" s="25"/>
      <c r="L165" s="25"/>
      <c r="M165" s="25"/>
      <c r="N165" s="25"/>
      <c r="O165" s="25"/>
      <c r="P165" s="25"/>
      <c r="Q165" s="25"/>
      <c r="R165" s="25"/>
      <c r="S165" s="25"/>
      <c r="T165" s="53">
        <f>T114</f>
        <v>0</v>
      </c>
      <c r="U165" s="25"/>
      <c r="V165" s="5"/>
    </row>
    <row r="166" spans="1:22" x14ac:dyDescent="0.35">
      <c r="A166" s="24"/>
      <c r="B166" s="25" t="s">
        <v>57</v>
      </c>
      <c r="C166" s="25"/>
      <c r="D166" s="25"/>
      <c r="E166" s="25"/>
      <c r="F166" s="25"/>
      <c r="G166" s="25"/>
      <c r="H166" s="25"/>
      <c r="I166" s="25"/>
      <c r="J166" s="25"/>
      <c r="K166" s="25"/>
      <c r="L166" s="25"/>
      <c r="M166" s="25"/>
      <c r="N166" s="25"/>
      <c r="O166" s="25"/>
      <c r="P166" s="25"/>
      <c r="Q166" s="25"/>
      <c r="R166" s="25"/>
      <c r="S166" s="25"/>
      <c r="T166" s="53">
        <f>T164+T165</f>
        <v>0</v>
      </c>
      <c r="U166" s="25"/>
      <c r="V166" s="5"/>
    </row>
    <row r="167" spans="1:22" ht="16" thickBot="1" x14ac:dyDescent="0.4">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x14ac:dyDescent="0.35">
      <c r="A168" s="2"/>
      <c r="B168" s="4"/>
      <c r="C168" s="4"/>
      <c r="D168" s="4"/>
      <c r="E168" s="4"/>
      <c r="F168" s="4"/>
      <c r="G168" s="4"/>
      <c r="H168" s="4"/>
      <c r="I168" s="4"/>
      <c r="J168" s="4"/>
      <c r="K168" s="4"/>
      <c r="L168" s="4"/>
      <c r="M168" s="4"/>
      <c r="N168" s="4"/>
      <c r="O168" s="4"/>
      <c r="P168" s="4"/>
      <c r="Q168" s="4"/>
      <c r="R168" s="4"/>
      <c r="S168" s="4"/>
      <c r="T168" s="50"/>
      <c r="U168" s="4"/>
      <c r="V168" s="5"/>
    </row>
    <row r="169" spans="1:22" x14ac:dyDescent="0.35">
      <c r="A169" s="6"/>
      <c r="B169" s="119" t="s">
        <v>58</v>
      </c>
      <c r="C169" s="8"/>
      <c r="D169" s="8"/>
      <c r="E169" s="8"/>
      <c r="F169" s="8"/>
      <c r="G169" s="8"/>
      <c r="H169" s="8"/>
      <c r="I169" s="8"/>
      <c r="J169" s="8"/>
      <c r="K169" s="8"/>
      <c r="L169" s="8"/>
      <c r="M169" s="8"/>
      <c r="N169" s="8"/>
      <c r="O169" s="8"/>
      <c r="P169" s="8"/>
      <c r="Q169" s="8"/>
      <c r="R169" s="8"/>
      <c r="S169" s="8"/>
      <c r="T169" s="52"/>
      <c r="U169" s="8"/>
      <c r="V169" s="5"/>
    </row>
    <row r="170" spans="1:22" x14ac:dyDescent="0.35">
      <c r="A170" s="6"/>
      <c r="B170" s="21"/>
      <c r="C170" s="8"/>
      <c r="D170" s="8"/>
      <c r="E170" s="8"/>
      <c r="F170" s="8"/>
      <c r="G170" s="8"/>
      <c r="H170" s="8"/>
      <c r="I170" s="8"/>
      <c r="J170" s="8"/>
      <c r="K170" s="8"/>
      <c r="L170" s="8"/>
      <c r="M170" s="8"/>
      <c r="N170" s="8"/>
      <c r="O170" s="8"/>
      <c r="P170" s="8"/>
      <c r="Q170" s="8"/>
      <c r="R170" s="8"/>
      <c r="S170" s="8"/>
      <c r="T170" s="52"/>
      <c r="U170" s="8"/>
      <c r="V170" s="5"/>
    </row>
    <row r="171" spans="1:22" x14ac:dyDescent="0.35">
      <c r="A171" s="24"/>
      <c r="B171" s="25" t="s">
        <v>59</v>
      </c>
      <c r="C171" s="25"/>
      <c r="D171" s="25"/>
      <c r="E171" s="25"/>
      <c r="F171" s="25"/>
      <c r="G171" s="25"/>
      <c r="H171" s="25"/>
      <c r="I171" s="25"/>
      <c r="J171" s="25"/>
      <c r="K171" s="25"/>
      <c r="L171" s="25"/>
      <c r="M171" s="25"/>
      <c r="N171" s="25"/>
      <c r="O171" s="25"/>
      <c r="P171" s="25"/>
      <c r="Q171" s="25"/>
      <c r="R171" s="25"/>
      <c r="S171" s="25"/>
      <c r="T171" s="53">
        <f>T72</f>
        <v>989461</v>
      </c>
      <c r="U171" s="25"/>
      <c r="V171" s="5"/>
    </row>
    <row r="172" spans="1:22" x14ac:dyDescent="0.35">
      <c r="A172" s="24"/>
      <c r="B172" s="25" t="s">
        <v>60</v>
      </c>
      <c r="C172" s="25"/>
      <c r="D172" s="25"/>
      <c r="E172" s="25"/>
      <c r="F172" s="25"/>
      <c r="G172" s="25"/>
      <c r="H172" s="25"/>
      <c r="I172" s="25"/>
      <c r="J172" s="25"/>
      <c r="K172" s="25"/>
      <c r="L172" s="25"/>
      <c r="M172" s="25"/>
      <c r="N172" s="25"/>
      <c r="O172" s="25"/>
      <c r="P172" s="25"/>
      <c r="Q172" s="25"/>
      <c r="R172" s="25"/>
      <c r="S172" s="25"/>
      <c r="T172" s="53">
        <f>T85</f>
        <v>989461</v>
      </c>
      <c r="U172" s="25"/>
      <c r="V172" s="5"/>
    </row>
    <row r="173" spans="1:22" ht="16" thickBot="1" x14ac:dyDescent="0.4">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x14ac:dyDescent="0.35">
      <c r="A174" s="2"/>
      <c r="B174" s="4"/>
      <c r="C174" s="4"/>
      <c r="D174" s="4"/>
      <c r="E174" s="4"/>
      <c r="F174" s="4"/>
      <c r="G174" s="4"/>
      <c r="H174" s="4"/>
      <c r="I174" s="4"/>
      <c r="J174" s="4"/>
      <c r="K174" s="4"/>
      <c r="L174" s="4"/>
      <c r="M174" s="4"/>
      <c r="N174" s="4"/>
      <c r="O174" s="4"/>
      <c r="P174" s="4"/>
      <c r="Q174" s="4"/>
      <c r="R174" s="4"/>
      <c r="S174" s="4"/>
      <c r="T174" s="50"/>
      <c r="U174" s="4"/>
      <c r="V174" s="5"/>
    </row>
    <row r="175" spans="1:22" x14ac:dyDescent="0.35">
      <c r="A175" s="6"/>
      <c r="B175" s="119" t="s">
        <v>61</v>
      </c>
      <c r="C175" s="117"/>
      <c r="D175" s="117"/>
      <c r="E175" s="117"/>
      <c r="F175" s="117"/>
      <c r="G175" s="117"/>
      <c r="H175" s="120"/>
      <c r="I175" s="120"/>
      <c r="J175" s="120"/>
      <c r="K175" s="120"/>
      <c r="L175" s="120"/>
      <c r="M175" s="120"/>
      <c r="N175" s="120"/>
      <c r="O175" s="120"/>
      <c r="P175" s="120"/>
      <c r="Q175" s="120" t="s">
        <v>105</v>
      </c>
      <c r="R175" s="120" t="s">
        <v>187</v>
      </c>
      <c r="S175" s="111"/>
      <c r="T175" s="121" t="s">
        <v>121</v>
      </c>
      <c r="U175" s="10"/>
      <c r="V175" s="5"/>
    </row>
    <row r="176" spans="1:22" x14ac:dyDescent="0.35">
      <c r="A176" s="24"/>
      <c r="B176" s="25" t="s">
        <v>62</v>
      </c>
      <c r="C176" s="25"/>
      <c r="D176" s="25"/>
      <c r="E176" s="25"/>
      <c r="F176" s="25"/>
      <c r="G176" s="25"/>
      <c r="H176" s="25"/>
      <c r="I176" s="25"/>
      <c r="J176" s="25"/>
      <c r="K176" s="25"/>
      <c r="L176" s="25"/>
      <c r="M176" s="25"/>
      <c r="N176" s="25"/>
      <c r="O176" s="25"/>
      <c r="P176" s="25"/>
      <c r="Q176" s="53">
        <f>+T34*0.16</f>
        <v>160056.48000000001</v>
      </c>
      <c r="R176" s="40"/>
      <c r="S176" s="25"/>
      <c r="T176" s="53"/>
      <c r="U176" s="25"/>
      <c r="V176" s="5"/>
    </row>
    <row r="177" spans="1:22" x14ac:dyDescent="0.35">
      <c r="A177" s="24"/>
      <c r="B177" s="25" t="s">
        <v>63</v>
      </c>
      <c r="C177" s="25"/>
      <c r="D177" s="25"/>
      <c r="E177" s="25"/>
      <c r="F177" s="25"/>
      <c r="G177" s="25"/>
      <c r="H177" s="25"/>
      <c r="I177" s="25"/>
      <c r="J177" s="25"/>
      <c r="K177" s="25"/>
      <c r="L177" s="25"/>
      <c r="M177" s="25"/>
      <c r="N177" s="25"/>
      <c r="O177" s="25"/>
      <c r="P177" s="25"/>
      <c r="Q177" s="53">
        <v>0</v>
      </c>
      <c r="R177" s="53">
        <v>0</v>
      </c>
      <c r="S177" s="25"/>
      <c r="T177" s="53">
        <f>Q177+R177</f>
        <v>0</v>
      </c>
      <c r="U177" s="25"/>
      <c r="V177" s="5"/>
    </row>
    <row r="178" spans="1:22" x14ac:dyDescent="0.35">
      <c r="A178" s="24"/>
      <c r="B178" s="25" t="s">
        <v>64</v>
      </c>
      <c r="C178" s="25"/>
      <c r="D178" s="25"/>
      <c r="E178" s="25"/>
      <c r="F178" s="25"/>
      <c r="G178" s="25"/>
      <c r="H178" s="25"/>
      <c r="I178" s="25"/>
      <c r="J178" s="25"/>
      <c r="K178" s="25"/>
      <c r="L178" s="25"/>
      <c r="M178" s="25"/>
      <c r="N178" s="25"/>
      <c r="O178" s="25"/>
      <c r="P178" s="25"/>
      <c r="Q178" s="34">
        <v>4169</v>
      </c>
      <c r="R178" s="34">
        <v>2740</v>
      </c>
      <c r="S178" s="25"/>
      <c r="T178" s="53">
        <f>Q178+R178</f>
        <v>6909</v>
      </c>
      <c r="U178" s="25"/>
      <c r="V178" s="5"/>
    </row>
    <row r="179" spans="1:22" x14ac:dyDescent="0.35">
      <c r="A179" s="24"/>
      <c r="B179" s="25" t="s">
        <v>65</v>
      </c>
      <c r="C179" s="25"/>
      <c r="D179" s="25"/>
      <c r="E179" s="25"/>
      <c r="F179" s="25"/>
      <c r="G179" s="25"/>
      <c r="H179" s="25"/>
      <c r="I179" s="25"/>
      <c r="J179" s="25"/>
      <c r="K179" s="25"/>
      <c r="L179" s="25"/>
      <c r="M179" s="25"/>
      <c r="N179" s="25"/>
      <c r="O179" s="25"/>
      <c r="P179" s="25"/>
      <c r="Q179" s="53">
        <f>Q177+Q178</f>
        <v>4169</v>
      </c>
      <c r="R179" s="53">
        <f>R178+R177</f>
        <v>2740</v>
      </c>
      <c r="S179" s="25"/>
      <c r="T179" s="53">
        <f>Q179+R179</f>
        <v>6909</v>
      </c>
      <c r="U179" s="25"/>
      <c r="V179" s="5"/>
    </row>
    <row r="180" spans="1:22" x14ac:dyDescent="0.35">
      <c r="A180" s="24"/>
      <c r="B180" s="25" t="s">
        <v>66</v>
      </c>
      <c r="C180" s="25"/>
      <c r="D180" s="25"/>
      <c r="E180" s="25"/>
      <c r="F180" s="25"/>
      <c r="G180" s="25"/>
      <c r="H180" s="25"/>
      <c r="I180" s="25"/>
      <c r="J180" s="25"/>
      <c r="K180" s="25"/>
      <c r="L180" s="25"/>
      <c r="M180" s="25"/>
      <c r="N180" s="25"/>
      <c r="O180" s="25"/>
      <c r="P180" s="25"/>
      <c r="Q180" s="53">
        <f>Q176-Q179-R179</f>
        <v>153147.48000000001</v>
      </c>
      <c r="R180" s="40"/>
      <c r="S180" s="25"/>
      <c r="T180" s="53"/>
      <c r="U180" s="25"/>
      <c r="V180" s="5"/>
    </row>
    <row r="181" spans="1:22" ht="16" thickBot="1" x14ac:dyDescent="0.4">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x14ac:dyDescent="0.35">
      <c r="A182" s="2"/>
      <c r="B182" s="4"/>
      <c r="C182" s="4"/>
      <c r="D182" s="4"/>
      <c r="E182" s="4"/>
      <c r="F182" s="4"/>
      <c r="G182" s="4"/>
      <c r="H182" s="4"/>
      <c r="I182" s="4"/>
      <c r="J182" s="4"/>
      <c r="K182" s="4"/>
      <c r="L182" s="4"/>
      <c r="M182" s="4"/>
      <c r="N182" s="4"/>
      <c r="O182" s="4"/>
      <c r="P182" s="4"/>
      <c r="Q182" s="4"/>
      <c r="R182" s="4"/>
      <c r="S182" s="4"/>
      <c r="T182" s="50"/>
      <c r="U182" s="4"/>
      <c r="V182" s="5"/>
    </row>
    <row r="183" spans="1:22" x14ac:dyDescent="0.35">
      <c r="A183" s="6"/>
      <c r="B183" s="119" t="s">
        <v>67</v>
      </c>
      <c r="C183" s="8"/>
      <c r="D183" s="8"/>
      <c r="E183" s="8"/>
      <c r="F183" s="8"/>
      <c r="G183" s="8"/>
      <c r="H183" s="8"/>
      <c r="I183" s="8"/>
      <c r="J183" s="8"/>
      <c r="K183" s="8"/>
      <c r="L183" s="8"/>
      <c r="M183" s="8"/>
      <c r="N183" s="8"/>
      <c r="O183" s="8"/>
      <c r="P183" s="8"/>
      <c r="Q183" s="8"/>
      <c r="R183" s="8"/>
      <c r="S183" s="8"/>
      <c r="T183" s="65"/>
      <c r="U183" s="8"/>
      <c r="V183" s="5"/>
    </row>
    <row r="184" spans="1:22" x14ac:dyDescent="0.35">
      <c r="A184" s="24"/>
      <c r="B184" s="25" t="s">
        <v>68</v>
      </c>
      <c r="C184" s="25"/>
      <c r="D184" s="25"/>
      <c r="E184" s="25"/>
      <c r="F184" s="25"/>
      <c r="G184" s="25"/>
      <c r="H184" s="25"/>
      <c r="I184" s="25"/>
      <c r="J184" s="25"/>
      <c r="K184" s="25"/>
      <c r="L184" s="25"/>
      <c r="M184" s="25"/>
      <c r="N184" s="25"/>
      <c r="O184" s="25"/>
      <c r="P184" s="25"/>
      <c r="Q184" s="25"/>
      <c r="R184" s="25"/>
      <c r="S184" s="25"/>
      <c r="T184" s="59">
        <f>(T99+T101+T102+T103+T104+T105)/-(T106+T107)</f>
        <v>1.3130674207471349</v>
      </c>
      <c r="U184" s="25" t="s">
        <v>122</v>
      </c>
      <c r="V184" s="5"/>
    </row>
    <row r="185" spans="1:22" x14ac:dyDescent="0.35">
      <c r="A185" s="24"/>
      <c r="B185" s="25" t="s">
        <v>69</v>
      </c>
      <c r="C185" s="25"/>
      <c r="D185" s="25"/>
      <c r="E185" s="25"/>
      <c r="F185" s="25"/>
      <c r="G185" s="25"/>
      <c r="H185" s="25"/>
      <c r="I185" s="25"/>
      <c r="J185" s="25"/>
      <c r="K185" s="25"/>
      <c r="L185" s="25"/>
      <c r="M185" s="25"/>
      <c r="N185" s="25"/>
      <c r="O185" s="25"/>
      <c r="P185" s="25"/>
      <c r="Q185" s="25"/>
      <c r="R185" s="25"/>
      <c r="S185" s="25"/>
      <c r="T185" s="66">
        <v>1.31</v>
      </c>
      <c r="U185" s="25" t="s">
        <v>122</v>
      </c>
      <c r="V185" s="5"/>
    </row>
    <row r="186" spans="1:22" x14ac:dyDescent="0.35">
      <c r="A186" s="24"/>
      <c r="B186" s="25" t="s">
        <v>70</v>
      </c>
      <c r="C186" s="25"/>
      <c r="D186" s="25"/>
      <c r="E186" s="25"/>
      <c r="F186" s="25"/>
      <c r="G186" s="25"/>
      <c r="H186" s="25"/>
      <c r="I186" s="25"/>
      <c r="J186" s="25"/>
      <c r="K186" s="25"/>
      <c r="L186" s="25"/>
      <c r="M186" s="25"/>
      <c r="N186" s="25"/>
      <c r="O186" s="25"/>
      <c r="P186" s="25"/>
      <c r="Q186" s="25"/>
      <c r="R186" s="25"/>
      <c r="S186" s="25"/>
      <c r="T186" s="59">
        <f>(T99+T101+T102+T103+T104+T105+T106+T107)/-(T108+T109)</f>
        <v>6.01</v>
      </c>
      <c r="U186" s="25" t="s">
        <v>122</v>
      </c>
      <c r="V186" s="5"/>
    </row>
    <row r="187" spans="1:22" x14ac:dyDescent="0.35">
      <c r="A187" s="24"/>
      <c r="B187" s="25" t="s">
        <v>71</v>
      </c>
      <c r="C187" s="25"/>
      <c r="D187" s="25"/>
      <c r="E187" s="25"/>
      <c r="F187" s="25"/>
      <c r="G187" s="25"/>
      <c r="H187" s="25"/>
      <c r="I187" s="25"/>
      <c r="J187" s="25"/>
      <c r="K187" s="25"/>
      <c r="L187" s="25"/>
      <c r="M187" s="25"/>
      <c r="N187" s="25"/>
      <c r="O187" s="25"/>
      <c r="P187" s="25"/>
      <c r="Q187" s="25"/>
      <c r="R187" s="25"/>
      <c r="S187" s="25"/>
      <c r="T187" s="66">
        <v>6.01</v>
      </c>
      <c r="U187" s="25" t="s">
        <v>122</v>
      </c>
      <c r="V187" s="5"/>
    </row>
    <row r="188" spans="1:22" x14ac:dyDescent="0.35">
      <c r="A188" s="24"/>
      <c r="B188" s="25" t="s">
        <v>232</v>
      </c>
      <c r="C188" s="25"/>
      <c r="D188" s="25"/>
      <c r="E188" s="25"/>
      <c r="F188" s="25"/>
      <c r="G188" s="25"/>
      <c r="H188" s="25"/>
      <c r="I188" s="25"/>
      <c r="J188" s="25"/>
      <c r="K188" s="25"/>
      <c r="L188" s="25"/>
      <c r="M188" s="25"/>
      <c r="N188" s="25"/>
      <c r="O188" s="25"/>
      <c r="P188" s="25"/>
      <c r="Q188" s="25"/>
      <c r="R188" s="25"/>
      <c r="S188" s="25"/>
      <c r="T188" s="59">
        <f>(T99+T101+T102+T103+T104+T105+T106+T107+T108+T109)/-(T110+T111)</f>
        <v>2.9821428571428572</v>
      </c>
      <c r="U188" s="25" t="s">
        <v>122</v>
      </c>
      <c r="V188" s="5"/>
    </row>
    <row r="189" spans="1:22" x14ac:dyDescent="0.35">
      <c r="A189" s="24"/>
      <c r="B189" s="25" t="s">
        <v>233</v>
      </c>
      <c r="C189" s="25"/>
      <c r="D189" s="25"/>
      <c r="E189" s="25"/>
      <c r="F189" s="25"/>
      <c r="G189" s="25"/>
      <c r="H189" s="25"/>
      <c r="I189" s="25"/>
      <c r="J189" s="25"/>
      <c r="K189" s="25"/>
      <c r="L189" s="25"/>
      <c r="M189" s="25"/>
      <c r="N189" s="25"/>
      <c r="O189" s="25"/>
      <c r="P189" s="25"/>
      <c r="Q189" s="25"/>
      <c r="R189" s="25"/>
      <c r="S189" s="25"/>
      <c r="T189" s="66">
        <v>2.98</v>
      </c>
      <c r="U189" s="25" t="s">
        <v>122</v>
      </c>
      <c r="V189" s="5"/>
    </row>
    <row r="190" spans="1:22" x14ac:dyDescent="0.35">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x14ac:dyDescent="0.35">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x14ac:dyDescent="0.35">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4">
      <c r="A193" s="101"/>
      <c r="B193" s="102" t="str">
        <f>B134</f>
        <v>PM10 INVESTOR REPORT QUARTER ENDING FEBRUARY 2006</v>
      </c>
      <c r="C193" s="107"/>
      <c r="D193" s="107"/>
      <c r="E193" s="107"/>
      <c r="F193" s="107"/>
      <c r="G193" s="107"/>
      <c r="H193" s="107"/>
      <c r="I193" s="107"/>
      <c r="J193" s="107"/>
      <c r="K193" s="107"/>
      <c r="L193" s="107"/>
      <c r="M193" s="107"/>
      <c r="N193" s="107"/>
      <c r="O193" s="107"/>
      <c r="P193" s="107"/>
      <c r="Q193" s="107"/>
      <c r="R193" s="107"/>
      <c r="S193" s="107"/>
      <c r="T193" s="107"/>
      <c r="U193" s="108"/>
      <c r="V193" s="5"/>
    </row>
    <row r="194" spans="1:22" x14ac:dyDescent="0.35">
      <c r="A194" s="67"/>
      <c r="B194" s="60" t="s">
        <v>72</v>
      </c>
      <c r="C194" s="68"/>
      <c r="D194" s="68"/>
      <c r="E194" s="68"/>
      <c r="F194" s="68"/>
      <c r="G194" s="69"/>
      <c r="H194" s="69"/>
      <c r="I194" s="69"/>
      <c r="J194" s="69"/>
      <c r="K194" s="69"/>
      <c r="L194" s="69"/>
      <c r="M194" s="69"/>
      <c r="N194" s="69"/>
      <c r="O194" s="69"/>
      <c r="P194" s="69"/>
      <c r="Q194" s="69"/>
      <c r="R194" s="70">
        <v>38776</v>
      </c>
      <c r="S194" s="4"/>
      <c r="T194" s="4"/>
      <c r="U194" s="4"/>
      <c r="V194" s="5"/>
    </row>
    <row r="195" spans="1:22" x14ac:dyDescent="0.35">
      <c r="A195" s="71"/>
      <c r="B195" s="72"/>
      <c r="C195" s="73"/>
      <c r="D195" s="73"/>
      <c r="E195" s="73"/>
      <c r="F195" s="73"/>
      <c r="G195" s="74"/>
      <c r="H195" s="74"/>
      <c r="I195" s="74"/>
      <c r="J195" s="74"/>
      <c r="K195" s="74"/>
      <c r="L195" s="74"/>
      <c r="M195" s="74"/>
      <c r="N195" s="74"/>
      <c r="O195" s="74"/>
      <c r="P195" s="74"/>
      <c r="Q195" s="74"/>
      <c r="R195" s="74"/>
      <c r="S195" s="8"/>
      <c r="T195" s="8"/>
      <c r="U195" s="8"/>
      <c r="V195" s="5"/>
    </row>
    <row r="196" spans="1:22" x14ac:dyDescent="0.35">
      <c r="A196" s="75"/>
      <c r="B196" s="76" t="s">
        <v>73</v>
      </c>
      <c r="C196" s="77"/>
      <c r="D196" s="77"/>
      <c r="E196" s="77"/>
      <c r="F196" s="77"/>
      <c r="G196" s="64"/>
      <c r="H196" s="64"/>
      <c r="I196" s="64"/>
      <c r="J196" s="64"/>
      <c r="K196" s="64"/>
      <c r="L196" s="64"/>
      <c r="M196" s="64"/>
      <c r="N196" s="64"/>
      <c r="O196" s="64"/>
      <c r="P196" s="64"/>
      <c r="Q196" s="64"/>
      <c r="R196" s="78">
        <v>5.3960000000000001E-2</v>
      </c>
      <c r="S196" s="25"/>
      <c r="T196" s="25"/>
      <c r="U196" s="25"/>
      <c r="V196" s="5"/>
    </row>
    <row r="197" spans="1:22" x14ac:dyDescent="0.35">
      <c r="A197" s="75"/>
      <c r="B197" s="76" t="s">
        <v>159</v>
      </c>
      <c r="C197" s="77"/>
      <c r="D197" s="77"/>
      <c r="E197" s="77"/>
      <c r="F197" s="77"/>
      <c r="G197" s="64"/>
      <c r="H197" s="64"/>
      <c r="I197" s="64"/>
      <c r="J197" s="64"/>
      <c r="K197" s="64"/>
      <c r="L197" s="64"/>
      <c r="M197" s="64"/>
      <c r="N197" s="64"/>
      <c r="O197" s="64"/>
      <c r="P197" s="64"/>
      <c r="Q197" s="64"/>
      <c r="R197" s="39">
        <f>+T43</f>
        <v>4.7355469751577693E-2</v>
      </c>
      <c r="S197" s="25"/>
      <c r="T197" s="25"/>
      <c r="U197" s="25"/>
      <c r="V197" s="5"/>
    </row>
    <row r="198" spans="1:22" x14ac:dyDescent="0.35">
      <c r="A198" s="75"/>
      <c r="B198" s="76" t="s">
        <v>74</v>
      </c>
      <c r="C198" s="77"/>
      <c r="D198" s="77"/>
      <c r="E198" s="77"/>
      <c r="F198" s="77"/>
      <c r="G198" s="64"/>
      <c r="H198" s="64"/>
      <c r="I198" s="64"/>
      <c r="J198" s="64"/>
      <c r="K198" s="64"/>
      <c r="L198" s="64"/>
      <c r="M198" s="64"/>
      <c r="N198" s="64"/>
      <c r="O198" s="64"/>
      <c r="P198" s="64"/>
      <c r="Q198" s="64"/>
      <c r="R198" s="78">
        <f>R196-R197</f>
        <v>6.6045302484223078E-3</v>
      </c>
      <c r="S198" s="25"/>
      <c r="T198" s="25"/>
      <c r="U198" s="25"/>
      <c r="V198" s="5"/>
    </row>
    <row r="199" spans="1:22" x14ac:dyDescent="0.35">
      <c r="A199" s="75"/>
      <c r="B199" s="76" t="s">
        <v>75</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262</v>
      </c>
      <c r="C200" s="77"/>
      <c r="D200" s="77"/>
      <c r="E200" s="77"/>
      <c r="F200" s="77"/>
      <c r="G200" s="64"/>
      <c r="H200" s="64"/>
      <c r="I200" s="64"/>
      <c r="J200" s="64"/>
      <c r="K200" s="64"/>
      <c r="L200" s="64"/>
      <c r="M200" s="64"/>
      <c r="N200" s="64"/>
      <c r="O200" s="64"/>
      <c r="P200" s="64"/>
      <c r="Q200" s="64"/>
      <c r="R200" s="78">
        <f>T43</f>
        <v>4.7355469751577693E-2</v>
      </c>
      <c r="S200" s="25"/>
      <c r="T200" s="25"/>
      <c r="U200" s="25"/>
      <c r="V200" s="5"/>
    </row>
    <row r="201" spans="1:22" x14ac:dyDescent="0.35">
      <c r="A201" s="75"/>
      <c r="B201" s="76" t="s">
        <v>76</v>
      </c>
      <c r="C201" s="77"/>
      <c r="D201" s="77"/>
      <c r="E201" s="77"/>
      <c r="F201" s="77"/>
      <c r="G201" s="64"/>
      <c r="H201" s="64"/>
      <c r="I201" s="64"/>
      <c r="J201" s="64"/>
      <c r="K201" s="64"/>
      <c r="L201" s="64"/>
      <c r="M201" s="64"/>
      <c r="N201" s="64"/>
      <c r="O201" s="64"/>
      <c r="P201" s="64"/>
      <c r="Q201" s="64"/>
      <c r="R201" s="78">
        <f>R199-R200</f>
        <v>6.6045302484223078E-3</v>
      </c>
      <c r="S201" s="25"/>
      <c r="T201" s="25"/>
      <c r="U201" s="25"/>
      <c r="V201" s="5"/>
    </row>
    <row r="202" spans="1:22" x14ac:dyDescent="0.35">
      <c r="A202" s="75"/>
      <c r="B202" s="76" t="s">
        <v>269</v>
      </c>
      <c r="C202" s="77"/>
      <c r="D202" s="77"/>
      <c r="E202" s="77"/>
      <c r="F202" s="77"/>
      <c r="G202" s="64"/>
      <c r="H202" s="64"/>
      <c r="I202" s="64"/>
      <c r="J202" s="64"/>
      <c r="K202" s="64"/>
      <c r="L202" s="64"/>
      <c r="M202" s="64"/>
      <c r="N202" s="64"/>
      <c r="O202" s="64"/>
      <c r="P202" s="64"/>
      <c r="Q202" s="64"/>
      <c r="R202" s="78">
        <f>(+T99+T100)/L72</f>
        <v>2.0345878942370169E-2</v>
      </c>
      <c r="S202" s="25"/>
      <c r="T202" s="25"/>
      <c r="U202" s="25"/>
      <c r="V202" s="5"/>
    </row>
    <row r="203" spans="1:22" x14ac:dyDescent="0.35">
      <c r="A203" s="75"/>
      <c r="B203" s="76" t="s">
        <v>251</v>
      </c>
      <c r="C203" s="77"/>
      <c r="D203" s="77"/>
      <c r="E203" s="77"/>
      <c r="F203" s="77"/>
      <c r="G203" s="64"/>
      <c r="H203" s="64"/>
      <c r="I203" s="64"/>
      <c r="J203" s="64"/>
      <c r="K203" s="64"/>
      <c r="L203" s="64"/>
      <c r="M203" s="64"/>
      <c r="N203" s="64"/>
      <c r="O203" s="64"/>
      <c r="P203" s="64"/>
      <c r="Q203" s="64"/>
      <c r="R203" s="130">
        <v>51653</v>
      </c>
      <c r="S203" s="25"/>
      <c r="T203" s="25"/>
      <c r="U203" s="25"/>
      <c r="V203" s="5"/>
    </row>
    <row r="204" spans="1:22" x14ac:dyDescent="0.35">
      <c r="A204" s="75"/>
      <c r="B204" s="76" t="s">
        <v>252</v>
      </c>
      <c r="C204" s="77"/>
      <c r="D204" s="77"/>
      <c r="E204" s="77"/>
      <c r="F204" s="77"/>
      <c r="G204" s="64"/>
      <c r="H204" s="64"/>
      <c r="I204" s="64"/>
      <c r="J204" s="64"/>
      <c r="K204" s="64"/>
      <c r="L204" s="64"/>
      <c r="M204" s="64"/>
      <c r="N204" s="64"/>
      <c r="O204" s="64"/>
      <c r="P204" s="64"/>
      <c r="Q204" s="64"/>
      <c r="R204" s="130">
        <v>51653</v>
      </c>
      <c r="S204" s="25"/>
      <c r="T204" s="25"/>
      <c r="U204" s="25"/>
      <c r="V204" s="5"/>
    </row>
    <row r="205" spans="1:22" x14ac:dyDescent="0.35">
      <c r="A205" s="75"/>
      <c r="B205" s="76" t="s">
        <v>253</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77</v>
      </c>
      <c r="C206" s="77"/>
      <c r="D206" s="77"/>
      <c r="E206" s="77"/>
      <c r="F206" s="77"/>
      <c r="G206" s="64"/>
      <c r="H206" s="64"/>
      <c r="I206" s="64"/>
      <c r="J206" s="64"/>
      <c r="K206" s="64"/>
      <c r="L206" s="64"/>
      <c r="M206" s="64"/>
      <c r="N206" s="64"/>
      <c r="O206" s="64"/>
      <c r="P206" s="64"/>
      <c r="Q206" s="64"/>
      <c r="R206" s="134">
        <v>21.48</v>
      </c>
      <c r="S206" s="25" t="s">
        <v>117</v>
      </c>
      <c r="T206" s="25"/>
      <c r="U206" s="25"/>
      <c r="V206" s="5"/>
    </row>
    <row r="207" spans="1:22" x14ac:dyDescent="0.35">
      <c r="A207" s="75"/>
      <c r="B207" s="76" t="s">
        <v>78</v>
      </c>
      <c r="C207" s="77"/>
      <c r="D207" s="77"/>
      <c r="E207" s="77"/>
      <c r="F207" s="77"/>
      <c r="G207" s="64"/>
      <c r="H207" s="64"/>
      <c r="I207" s="64"/>
      <c r="J207" s="64"/>
      <c r="K207" s="64"/>
      <c r="L207" s="64"/>
      <c r="M207" s="64"/>
      <c r="N207" s="64"/>
      <c r="O207" s="64"/>
      <c r="P207" s="64"/>
      <c r="Q207" s="64"/>
      <c r="R207" s="134">
        <v>21.21</v>
      </c>
      <c r="S207" s="25" t="s">
        <v>117</v>
      </c>
      <c r="T207" s="25"/>
      <c r="U207" s="25"/>
      <c r="V207" s="5"/>
    </row>
    <row r="208" spans="1:22" x14ac:dyDescent="0.35">
      <c r="A208" s="75"/>
      <c r="B208" s="76" t="s">
        <v>79</v>
      </c>
      <c r="C208" s="77"/>
      <c r="D208" s="77"/>
      <c r="E208" s="77"/>
      <c r="F208" s="77"/>
      <c r="G208" s="64"/>
      <c r="H208" s="64"/>
      <c r="I208" s="64"/>
      <c r="J208" s="64"/>
      <c r="K208" s="64"/>
      <c r="L208" s="64"/>
      <c r="M208" s="64"/>
      <c r="N208" s="64"/>
      <c r="O208" s="64"/>
      <c r="P208" s="64"/>
      <c r="Q208" s="64"/>
      <c r="R208" s="78">
        <f>+N69/L69</f>
        <v>1.798767564800819E-2</v>
      </c>
      <c r="S208" s="25"/>
      <c r="T208" s="25"/>
      <c r="U208" s="25"/>
      <c r="V208" s="5"/>
    </row>
    <row r="209" spans="1:22" x14ac:dyDescent="0.35">
      <c r="A209" s="75"/>
      <c r="B209" s="76" t="s">
        <v>80</v>
      </c>
      <c r="C209" s="77"/>
      <c r="D209" s="77"/>
      <c r="E209" s="77"/>
      <c r="F209" s="77"/>
      <c r="G209" s="64"/>
      <c r="H209" s="64"/>
      <c r="I209" s="64"/>
      <c r="J209" s="64"/>
      <c r="K209" s="64"/>
      <c r="L209" s="64"/>
      <c r="M209" s="64"/>
      <c r="N209" s="64"/>
      <c r="O209" s="64"/>
      <c r="P209" s="64"/>
      <c r="Q209" s="64"/>
      <c r="R209" s="78">
        <v>5.45E-2</v>
      </c>
      <c r="S209" s="25"/>
      <c r="T209" s="25"/>
      <c r="U209" s="25"/>
      <c r="V209" s="5"/>
    </row>
    <row r="210" spans="1:22" x14ac:dyDescent="0.35">
      <c r="A210" s="75"/>
      <c r="B210" s="76"/>
      <c r="C210" s="76"/>
      <c r="D210" s="76"/>
      <c r="E210" s="76"/>
      <c r="F210" s="76"/>
      <c r="G210" s="25"/>
      <c r="H210" s="25"/>
      <c r="I210" s="25"/>
      <c r="J210" s="25"/>
      <c r="K210" s="25"/>
      <c r="L210" s="25"/>
      <c r="M210" s="25"/>
      <c r="N210" s="25"/>
      <c r="O210" s="25"/>
      <c r="P210" s="25"/>
      <c r="Q210" s="25"/>
      <c r="R210" s="61"/>
      <c r="S210" s="25"/>
      <c r="T210" s="79"/>
      <c r="U210" s="25"/>
      <c r="V210" s="5"/>
    </row>
    <row r="211" spans="1:22" x14ac:dyDescent="0.35">
      <c r="A211" s="80"/>
      <c r="B211" s="14" t="s">
        <v>81</v>
      </c>
      <c r="C211" s="81"/>
      <c r="D211" s="81"/>
      <c r="E211" s="81"/>
      <c r="F211" s="82"/>
      <c r="G211" s="81"/>
      <c r="H211" s="17"/>
      <c r="I211" s="17"/>
      <c r="J211" s="17"/>
      <c r="K211" s="17"/>
      <c r="L211" s="17"/>
      <c r="M211" s="17"/>
      <c r="N211" s="17"/>
      <c r="O211" s="17"/>
      <c r="P211" s="17"/>
      <c r="Q211" s="17" t="s">
        <v>106</v>
      </c>
      <c r="R211" s="83" t="s">
        <v>113</v>
      </c>
      <c r="S211" s="8"/>
      <c r="T211" s="8"/>
      <c r="U211" s="8"/>
      <c r="V211" s="5"/>
    </row>
    <row r="212" spans="1:22" x14ac:dyDescent="0.35">
      <c r="A212" s="84"/>
      <c r="B212" s="76" t="s">
        <v>82</v>
      </c>
      <c r="C212" s="54"/>
      <c r="D212" s="54"/>
      <c r="E212" s="54"/>
      <c r="F212" s="25"/>
      <c r="G212" s="25"/>
      <c r="H212" s="30"/>
      <c r="I212" s="30"/>
      <c r="J212" s="30"/>
      <c r="K212" s="30"/>
      <c r="L212" s="30"/>
      <c r="M212" s="30"/>
      <c r="N212" s="30"/>
      <c r="O212" s="30"/>
      <c r="P212" s="30"/>
      <c r="Q212" s="30">
        <v>0</v>
      </c>
      <c r="R212" s="85">
        <v>0</v>
      </c>
      <c r="S212" s="25"/>
      <c r="T212" s="79"/>
      <c r="U212" s="86"/>
      <c r="V212" s="5"/>
    </row>
    <row r="213" spans="1:22" x14ac:dyDescent="0.35">
      <c r="A213" s="84"/>
      <c r="B213" s="76" t="s">
        <v>152</v>
      </c>
      <c r="C213" s="54"/>
      <c r="D213" s="54"/>
      <c r="E213" s="54"/>
      <c r="F213" s="25"/>
      <c r="G213" s="25"/>
      <c r="H213" s="30"/>
      <c r="I213" s="30"/>
      <c r="J213" s="30"/>
      <c r="K213" s="30"/>
      <c r="L213" s="30"/>
      <c r="M213" s="30"/>
      <c r="N213" s="30"/>
      <c r="O213" s="30"/>
      <c r="P213" s="30"/>
      <c r="Q213" s="153">
        <f>+P254</f>
        <v>5</v>
      </c>
      <c r="R213" s="85">
        <f>+R254</f>
        <v>889</v>
      </c>
      <c r="S213" s="25"/>
      <c r="T213" s="79"/>
      <c r="U213" s="86"/>
      <c r="V213" s="5"/>
    </row>
    <row r="214" spans="1:22" x14ac:dyDescent="0.35">
      <c r="A214" s="84"/>
      <c r="B214" s="76" t="s">
        <v>83</v>
      </c>
      <c r="C214" s="54"/>
      <c r="D214" s="54"/>
      <c r="E214" s="54"/>
      <c r="F214" s="25"/>
      <c r="G214" s="25"/>
      <c r="H214" s="30"/>
      <c r="I214" s="30"/>
      <c r="J214" s="30"/>
      <c r="K214" s="30"/>
      <c r="L214" s="30"/>
      <c r="M214" s="30"/>
      <c r="N214" s="30"/>
      <c r="O214" s="30"/>
      <c r="P214" s="30"/>
      <c r="Q214" s="30">
        <v>0</v>
      </c>
      <c r="R214" s="85">
        <v>0</v>
      </c>
      <c r="S214" s="25"/>
      <c r="T214" s="79"/>
      <c r="U214" s="86"/>
      <c r="V214" s="5"/>
    </row>
    <row r="215" spans="1:22" x14ac:dyDescent="0.35">
      <c r="A215" s="84"/>
      <c r="B215" s="122" t="s">
        <v>84</v>
      </c>
      <c r="C215" s="54"/>
      <c r="D215" s="54"/>
      <c r="E215" s="54"/>
      <c r="F215" s="25"/>
      <c r="G215" s="25"/>
      <c r="H215" s="25"/>
      <c r="I215" s="25"/>
      <c r="J215" s="25"/>
      <c r="K215" s="25"/>
      <c r="L215" s="25"/>
      <c r="M215" s="25"/>
      <c r="N215" s="25"/>
      <c r="O215" s="25"/>
      <c r="P215" s="25"/>
      <c r="Q215" s="25"/>
      <c r="R215" s="85">
        <v>0</v>
      </c>
      <c r="S215" s="25"/>
      <c r="T215" s="79"/>
      <c r="U215" s="86"/>
      <c r="V215" s="5"/>
    </row>
    <row r="216" spans="1:22" x14ac:dyDescent="0.35">
      <c r="A216" s="84"/>
      <c r="B216" s="122" t="s">
        <v>85</v>
      </c>
      <c r="C216" s="54"/>
      <c r="D216" s="54"/>
      <c r="E216" s="54"/>
      <c r="F216" s="25"/>
      <c r="G216" s="25"/>
      <c r="H216" s="25"/>
      <c r="I216" s="25"/>
      <c r="J216" s="25"/>
      <c r="K216" s="25"/>
      <c r="L216" s="25"/>
      <c r="M216" s="25"/>
      <c r="N216" s="25"/>
      <c r="O216" s="25"/>
      <c r="P216" s="25"/>
      <c r="Q216" s="25"/>
      <c r="R216" s="62" t="s">
        <v>114</v>
      </c>
      <c r="S216" s="25"/>
      <c r="T216" s="79"/>
      <c r="U216" s="86"/>
      <c r="V216" s="5"/>
    </row>
    <row r="217" spans="1:22" x14ac:dyDescent="0.35">
      <c r="A217" s="87"/>
      <c r="B217" s="122" t="s">
        <v>86</v>
      </c>
      <c r="C217" s="76"/>
      <c r="D217" s="76"/>
      <c r="E217" s="76"/>
      <c r="F217" s="76"/>
      <c r="G217" s="25"/>
      <c r="H217" s="25"/>
      <c r="I217" s="25"/>
      <c r="J217" s="25"/>
      <c r="K217" s="25"/>
      <c r="L217" s="25"/>
      <c r="M217" s="25"/>
      <c r="N217" s="25"/>
      <c r="O217" s="25"/>
      <c r="P217" s="25"/>
      <c r="Q217" s="25"/>
      <c r="R217" s="85"/>
      <c r="S217" s="25"/>
      <c r="T217" s="79"/>
      <c r="U217" s="88"/>
      <c r="V217" s="5"/>
    </row>
    <row r="218" spans="1:22" x14ac:dyDescent="0.35">
      <c r="A218" s="87"/>
      <c r="B218" s="132" t="s">
        <v>87</v>
      </c>
      <c r="C218" s="76"/>
      <c r="D218" s="76"/>
      <c r="E218" s="76"/>
      <c r="F218" s="76"/>
      <c r="G218" s="25"/>
      <c r="H218" s="25"/>
      <c r="I218" s="25"/>
      <c r="J218" s="25"/>
      <c r="K218" s="25"/>
      <c r="L218" s="25"/>
      <c r="M218" s="25"/>
      <c r="N218" s="25"/>
      <c r="O218" s="25"/>
      <c r="P218" s="25"/>
      <c r="Q218" s="30">
        <v>0</v>
      </c>
      <c r="R218" s="85">
        <f>T163</f>
        <v>0</v>
      </c>
      <c r="S218" s="25"/>
      <c r="T218" s="79"/>
      <c r="U218" s="88"/>
      <c r="V218" s="5"/>
    </row>
    <row r="219" spans="1:22" x14ac:dyDescent="0.35">
      <c r="A219" s="84"/>
      <c r="B219" s="76" t="s">
        <v>88</v>
      </c>
      <c r="C219" s="54"/>
      <c r="D219" s="54"/>
      <c r="E219" s="54"/>
      <c r="F219" s="54"/>
      <c r="G219" s="25"/>
      <c r="H219" s="25"/>
      <c r="I219" s="25"/>
      <c r="J219" s="25"/>
      <c r="K219" s="25"/>
      <c r="L219" s="25"/>
      <c r="M219" s="25"/>
      <c r="N219" s="25"/>
      <c r="O219" s="25"/>
      <c r="P219" s="25"/>
      <c r="Q219" s="30">
        <v>0</v>
      </c>
      <c r="R219" s="85">
        <f>+R218</f>
        <v>0</v>
      </c>
      <c r="S219" s="25"/>
      <c r="T219" s="79"/>
      <c r="U219" s="88"/>
      <c r="V219" s="5"/>
    </row>
    <row r="220" spans="1:22" x14ac:dyDescent="0.35">
      <c r="A220" s="84"/>
      <c r="B220" s="76" t="s">
        <v>89</v>
      </c>
      <c r="C220" s="54"/>
      <c r="D220" s="54"/>
      <c r="E220" s="54"/>
      <c r="F220" s="54"/>
      <c r="G220" s="25"/>
      <c r="H220" s="25"/>
      <c r="I220" s="25"/>
      <c r="J220" s="25"/>
      <c r="K220" s="25"/>
      <c r="L220" s="25"/>
      <c r="M220" s="25"/>
      <c r="N220" s="25"/>
      <c r="O220" s="25"/>
      <c r="P220" s="25"/>
      <c r="Q220" s="30"/>
      <c r="R220" s="85">
        <v>0</v>
      </c>
      <c r="S220" s="25"/>
      <c r="T220" s="79"/>
      <c r="U220" s="88"/>
      <c r="V220" s="5"/>
    </row>
    <row r="221" spans="1:22" x14ac:dyDescent="0.35">
      <c r="A221" s="87"/>
      <c r="B221" s="122" t="s">
        <v>295</v>
      </c>
      <c r="C221" s="76"/>
      <c r="D221" s="76"/>
      <c r="E221" s="76"/>
      <c r="F221" s="76"/>
      <c r="G221" s="25"/>
      <c r="H221" s="25"/>
      <c r="I221" s="25"/>
      <c r="J221" s="25"/>
      <c r="K221" s="25"/>
      <c r="L221" s="25"/>
      <c r="M221" s="25"/>
      <c r="N221" s="25"/>
      <c r="O221" s="25"/>
      <c r="P221" s="25"/>
      <c r="Q221" s="30"/>
      <c r="R221" s="85"/>
      <c r="S221" s="25"/>
      <c r="T221" s="79"/>
      <c r="U221" s="88"/>
      <c r="V221" s="5"/>
    </row>
    <row r="222" spans="1:22" x14ac:dyDescent="0.35">
      <c r="A222" s="87"/>
      <c r="B222" s="76" t="s">
        <v>292</v>
      </c>
      <c r="C222" s="76"/>
      <c r="D222" s="76"/>
      <c r="E222" s="76"/>
      <c r="F222" s="76"/>
      <c r="G222" s="25"/>
      <c r="H222" s="25"/>
      <c r="I222" s="25"/>
      <c r="J222" s="25"/>
      <c r="K222" s="25"/>
      <c r="L222" s="25"/>
      <c r="M222" s="25"/>
      <c r="N222" s="25"/>
      <c r="O222" s="25"/>
      <c r="P222" s="25"/>
      <c r="Q222" s="30">
        <v>0</v>
      </c>
      <c r="R222" s="85">
        <v>0</v>
      </c>
      <c r="S222" s="25"/>
      <c r="T222" s="79"/>
      <c r="U222" s="88"/>
      <c r="V222" s="5"/>
    </row>
    <row r="223" spans="1:22" x14ac:dyDescent="0.35">
      <c r="A223" s="84"/>
      <c r="B223" s="76" t="s">
        <v>90</v>
      </c>
      <c r="C223" s="89"/>
      <c r="D223" s="89"/>
      <c r="E223" s="89"/>
      <c r="F223" s="90"/>
      <c r="G223" s="25"/>
      <c r="H223" s="25"/>
      <c r="I223" s="25"/>
      <c r="J223" s="25"/>
      <c r="K223" s="25"/>
      <c r="L223" s="25"/>
      <c r="M223" s="25"/>
      <c r="N223" s="25"/>
      <c r="O223" s="25"/>
      <c r="P223" s="25"/>
      <c r="Q223" s="25"/>
      <c r="R223" s="62">
        <v>0</v>
      </c>
      <c r="S223" s="25"/>
      <c r="T223" s="79"/>
      <c r="U223" s="88"/>
      <c r="V223" s="5"/>
    </row>
    <row r="224" spans="1:22" x14ac:dyDescent="0.35">
      <c r="A224" s="84"/>
      <c r="B224" s="76" t="s">
        <v>91</v>
      </c>
      <c r="C224" s="89"/>
      <c r="D224" s="89"/>
      <c r="E224" s="89"/>
      <c r="F224" s="90"/>
      <c r="G224" s="25"/>
      <c r="H224" s="25"/>
      <c r="I224" s="25"/>
      <c r="J224" s="25"/>
      <c r="K224" s="25"/>
      <c r="L224" s="25"/>
      <c r="M224" s="25"/>
      <c r="N224" s="25"/>
      <c r="O224" s="25"/>
      <c r="P224" s="25"/>
      <c r="Q224" s="25"/>
      <c r="R224" s="62">
        <v>0</v>
      </c>
      <c r="S224" s="25"/>
      <c r="T224" s="79"/>
      <c r="U224" s="88"/>
      <c r="V224" s="5"/>
    </row>
    <row r="225" spans="1:23" x14ac:dyDescent="0.35">
      <c r="A225" s="84"/>
      <c r="B225" s="122" t="s">
        <v>260</v>
      </c>
      <c r="C225" s="89"/>
      <c r="D225" s="89"/>
      <c r="E225" s="89"/>
      <c r="F225" s="90"/>
      <c r="G225" s="25"/>
      <c r="H225" s="25"/>
      <c r="I225" s="25"/>
      <c r="J225" s="25"/>
      <c r="K225" s="25"/>
      <c r="L225" s="25"/>
      <c r="M225" s="25"/>
      <c r="N225" s="25"/>
      <c r="O225" s="25"/>
      <c r="P225" s="25"/>
      <c r="Q225" s="25"/>
      <c r="R225" s="91"/>
      <c r="S225" s="25"/>
      <c r="T225" s="79"/>
      <c r="U225" s="88"/>
      <c r="V225" s="5"/>
    </row>
    <row r="226" spans="1:23" x14ac:dyDescent="0.35">
      <c r="A226" s="84"/>
      <c r="B226" s="76" t="s">
        <v>292</v>
      </c>
      <c r="C226" s="89"/>
      <c r="D226" s="89"/>
      <c r="E226" s="89"/>
      <c r="F226" s="90"/>
      <c r="G226" s="25"/>
      <c r="H226" s="25"/>
      <c r="I226" s="25"/>
      <c r="J226" s="25"/>
      <c r="K226" s="25"/>
      <c r="L226" s="25"/>
      <c r="M226" s="25"/>
      <c r="N226" s="25"/>
      <c r="O226" s="25"/>
      <c r="P226" s="25"/>
      <c r="Q226" s="30">
        <v>0</v>
      </c>
      <c r="R226" s="85">
        <v>0</v>
      </c>
      <c r="S226" s="25"/>
      <c r="T226" s="79"/>
      <c r="U226" s="88"/>
      <c r="V226" s="5"/>
    </row>
    <row r="227" spans="1:23" x14ac:dyDescent="0.35">
      <c r="A227" s="84"/>
      <c r="B227" s="76" t="s">
        <v>261</v>
      </c>
      <c r="C227" s="89"/>
      <c r="D227" s="89"/>
      <c r="E227" s="89"/>
      <c r="F227" s="90"/>
      <c r="G227" s="25"/>
      <c r="H227" s="25"/>
      <c r="I227" s="25"/>
      <c r="J227" s="25"/>
      <c r="K227" s="25"/>
      <c r="L227" s="25"/>
      <c r="M227" s="25"/>
      <c r="N227" s="25"/>
      <c r="O227" s="25"/>
      <c r="P227" s="25"/>
      <c r="Q227" s="25"/>
      <c r="R227" s="62">
        <v>0</v>
      </c>
      <c r="S227" s="25"/>
      <c r="T227" s="79"/>
      <c r="U227" s="88"/>
      <c r="V227" s="5"/>
    </row>
    <row r="228" spans="1:23" x14ac:dyDescent="0.35">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x14ac:dyDescent="0.35">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7.5" x14ac:dyDescent="0.35">
      <c r="A230" s="84"/>
      <c r="B230" s="150" t="s">
        <v>178</v>
      </c>
      <c r="C230" s="89"/>
      <c r="D230" s="89"/>
      <c r="E230" s="89"/>
      <c r="F230" s="90"/>
      <c r="G230" s="25"/>
      <c r="H230" s="25"/>
      <c r="I230" s="25"/>
      <c r="J230" s="25"/>
      <c r="K230" s="25"/>
      <c r="L230" s="25"/>
      <c r="M230" s="25"/>
      <c r="N230" s="151" t="s">
        <v>177</v>
      </c>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x14ac:dyDescent="0.35">
      <c r="A232" s="6"/>
      <c r="B232" s="14" t="s">
        <v>171</v>
      </c>
      <c r="C232" s="81"/>
      <c r="D232" s="81"/>
      <c r="E232" s="81"/>
      <c r="F232" s="82"/>
      <c r="G232" s="81"/>
      <c r="H232" s="17"/>
      <c r="I232" s="17"/>
      <c r="J232" s="17"/>
      <c r="K232" s="17"/>
      <c r="L232" s="17"/>
      <c r="M232" s="17"/>
      <c r="N232" s="17"/>
      <c r="O232" s="17"/>
      <c r="P232" s="83" t="s">
        <v>106</v>
      </c>
      <c r="Q232" s="17" t="s">
        <v>107</v>
      </c>
      <c r="R232" s="83" t="s">
        <v>115</v>
      </c>
      <c r="S232" s="17" t="s">
        <v>107</v>
      </c>
      <c r="T232" s="8"/>
      <c r="U232" s="92"/>
      <c r="V232" s="5"/>
    </row>
    <row r="233" spans="1:23" x14ac:dyDescent="0.35">
      <c r="A233" s="24"/>
      <c r="B233" s="54" t="s">
        <v>92</v>
      </c>
      <c r="C233" s="93"/>
      <c r="D233" s="93"/>
      <c r="E233" s="93"/>
      <c r="F233" s="25"/>
      <c r="G233" s="93"/>
      <c r="H233" s="93"/>
      <c r="I233" s="93"/>
      <c r="J233" s="93"/>
      <c r="K233" s="93"/>
      <c r="L233" s="93"/>
      <c r="M233" s="93"/>
      <c r="N233" s="93"/>
      <c r="O233" s="93"/>
      <c r="P233" s="54">
        <v>7568</v>
      </c>
      <c r="Q233" s="94">
        <f t="shared" ref="Q233:Q240" si="1">P233/$P$242</f>
        <v>0.9942196531791907</v>
      </c>
      <c r="R233" s="53">
        <v>980069</v>
      </c>
      <c r="S233" s="133">
        <f t="shared" ref="S233:S240" si="2">R233/$R$242</f>
        <v>0.9913987043938125</v>
      </c>
      <c r="T233" s="79"/>
      <c r="U233" s="88"/>
      <c r="V233" s="5"/>
    </row>
    <row r="234" spans="1:23" x14ac:dyDescent="0.35">
      <c r="A234" s="24"/>
      <c r="B234" s="54" t="s">
        <v>93</v>
      </c>
      <c r="C234" s="93"/>
      <c r="D234" s="93"/>
      <c r="E234" s="93"/>
      <c r="F234" s="25"/>
      <c r="G234" s="94"/>
      <c r="H234" s="93"/>
      <c r="I234" s="93"/>
      <c r="J234" s="93"/>
      <c r="K234" s="93"/>
      <c r="L234" s="93"/>
      <c r="M234" s="93"/>
      <c r="N234" s="93"/>
      <c r="O234" s="93"/>
      <c r="P234" s="54">
        <v>29</v>
      </c>
      <c r="Q234" s="94">
        <f t="shared" si="1"/>
        <v>3.8097740409879137E-3</v>
      </c>
      <c r="R234" s="53">
        <v>5050</v>
      </c>
      <c r="S234" s="133">
        <f t="shared" si="2"/>
        <v>5.1083785500702023E-3</v>
      </c>
      <c r="T234" s="79"/>
      <c r="U234" s="88"/>
      <c r="V234" s="5"/>
      <c r="W234" s="109"/>
    </row>
    <row r="235" spans="1:23" x14ac:dyDescent="0.35">
      <c r="A235" s="24"/>
      <c r="B235" s="54" t="s">
        <v>94</v>
      </c>
      <c r="C235" s="93"/>
      <c r="D235" s="93"/>
      <c r="E235" s="93"/>
      <c r="F235" s="25"/>
      <c r="G235" s="94"/>
      <c r="H235" s="93"/>
      <c r="I235" s="93"/>
      <c r="J235" s="93"/>
      <c r="K235" s="93"/>
      <c r="L235" s="93"/>
      <c r="M235" s="93"/>
      <c r="N235" s="93"/>
      <c r="O235" s="93"/>
      <c r="P235" s="54">
        <v>14</v>
      </c>
      <c r="Q235" s="94">
        <f t="shared" si="1"/>
        <v>1.8392012611665792E-3</v>
      </c>
      <c r="R235" s="53">
        <v>3444</v>
      </c>
      <c r="S235" s="133">
        <f t="shared" si="2"/>
        <v>3.4838130151369855E-3</v>
      </c>
      <c r="T235" s="79"/>
      <c r="U235" s="88"/>
      <c r="V235" s="5"/>
    </row>
    <row r="236" spans="1:23" x14ac:dyDescent="0.35">
      <c r="A236" s="24"/>
      <c r="B236" s="54" t="s">
        <v>164</v>
      </c>
      <c r="C236" s="93"/>
      <c r="D236" s="93"/>
      <c r="E236" s="93"/>
      <c r="F236" s="25"/>
      <c r="G236" s="94"/>
      <c r="H236" s="93"/>
      <c r="I236" s="93"/>
      <c r="J236" s="93"/>
      <c r="K236" s="93"/>
      <c r="L236" s="93"/>
      <c r="M236" s="93"/>
      <c r="N236" s="93"/>
      <c r="O236" s="93"/>
      <c r="P236" s="54">
        <v>0</v>
      </c>
      <c r="Q236" s="94">
        <f t="shared" si="1"/>
        <v>0</v>
      </c>
      <c r="R236" s="53">
        <v>0</v>
      </c>
      <c r="S236" s="133">
        <f t="shared" si="2"/>
        <v>0</v>
      </c>
      <c r="T236" s="79"/>
      <c r="U236" s="88"/>
      <c r="V236" s="5"/>
      <c r="W236" s="109"/>
    </row>
    <row r="237" spans="1:23" x14ac:dyDescent="0.35">
      <c r="A237" s="24"/>
      <c r="B237" s="54" t="s">
        <v>165</v>
      </c>
      <c r="C237" s="93"/>
      <c r="D237" s="93"/>
      <c r="E237" s="93"/>
      <c r="F237" s="25"/>
      <c r="G237" s="94"/>
      <c r="H237" s="93"/>
      <c r="I237" s="93"/>
      <c r="J237" s="93"/>
      <c r="K237" s="93"/>
      <c r="L237" s="93"/>
      <c r="M237" s="93"/>
      <c r="N237" s="93"/>
      <c r="O237" s="93"/>
      <c r="P237" s="54">
        <v>0</v>
      </c>
      <c r="Q237" s="94">
        <f t="shared" si="1"/>
        <v>0</v>
      </c>
      <c r="R237" s="53">
        <v>0</v>
      </c>
      <c r="S237" s="133">
        <f t="shared" si="2"/>
        <v>0</v>
      </c>
      <c r="T237" s="79"/>
      <c r="U237" s="88"/>
      <c r="V237" s="5"/>
    </row>
    <row r="238" spans="1:23" x14ac:dyDescent="0.35">
      <c r="A238" s="24"/>
      <c r="B238" s="54" t="s">
        <v>166</v>
      </c>
      <c r="C238" s="93"/>
      <c r="D238" s="93"/>
      <c r="E238" s="93"/>
      <c r="F238" s="25"/>
      <c r="G238" s="94"/>
      <c r="H238" s="93"/>
      <c r="I238" s="93"/>
      <c r="J238" s="93"/>
      <c r="K238" s="93"/>
      <c r="L238" s="93"/>
      <c r="M238" s="93"/>
      <c r="N238" s="93"/>
      <c r="O238" s="93"/>
      <c r="P238" s="54">
        <v>0</v>
      </c>
      <c r="Q238" s="94">
        <f t="shared" si="1"/>
        <v>0</v>
      </c>
      <c r="R238" s="53">
        <v>0</v>
      </c>
      <c r="S238" s="133">
        <f t="shared" si="2"/>
        <v>0</v>
      </c>
      <c r="T238" s="79"/>
      <c r="U238" s="88"/>
      <c r="V238" s="5"/>
      <c r="W238" s="109"/>
    </row>
    <row r="239" spans="1:23" x14ac:dyDescent="0.35">
      <c r="A239" s="24"/>
      <c r="B239" s="54" t="s">
        <v>167</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row>
    <row r="240" spans="1:23" x14ac:dyDescent="0.35">
      <c r="A240" s="24"/>
      <c r="B240" s="54" t="s">
        <v>168</v>
      </c>
      <c r="C240" s="93"/>
      <c r="D240" s="93"/>
      <c r="E240" s="93"/>
      <c r="F240" s="25"/>
      <c r="G240" s="94"/>
      <c r="H240" s="93"/>
      <c r="I240" s="93"/>
      <c r="J240" s="93"/>
      <c r="K240" s="93"/>
      <c r="L240" s="93"/>
      <c r="M240" s="93"/>
      <c r="N240" s="93"/>
      <c r="O240" s="93"/>
      <c r="P240" s="54">
        <v>1</v>
      </c>
      <c r="Q240" s="94">
        <f t="shared" si="1"/>
        <v>1.3137151865475564E-4</v>
      </c>
      <c r="R240" s="53">
        <v>9</v>
      </c>
      <c r="S240" s="133">
        <f t="shared" si="2"/>
        <v>9.1040409803231333E-6</v>
      </c>
      <c r="T240" s="79"/>
      <c r="U240" s="88"/>
      <c r="V240" s="5"/>
      <c r="W240" s="109"/>
    </row>
    <row r="241" spans="1:22" x14ac:dyDescent="0.35">
      <c r="A241" s="24"/>
      <c r="B241" s="54"/>
      <c r="C241" s="93"/>
      <c r="D241" s="93"/>
      <c r="E241" s="93"/>
      <c r="F241" s="25"/>
      <c r="G241" s="94"/>
      <c r="H241" s="93"/>
      <c r="I241" s="93"/>
      <c r="J241" s="93"/>
      <c r="K241" s="93"/>
      <c r="L241" s="93"/>
      <c r="M241" s="93"/>
      <c r="N241" s="93"/>
      <c r="O241" s="93"/>
      <c r="P241" s="54"/>
      <c r="Q241" s="94"/>
      <c r="R241" s="53"/>
      <c r="S241" s="133"/>
      <c r="T241" s="79"/>
      <c r="U241" s="88"/>
      <c r="V241" s="5"/>
    </row>
    <row r="242" spans="1:22" x14ac:dyDescent="0.35">
      <c r="A242" s="24"/>
      <c r="B242" s="25"/>
      <c r="C242" s="25"/>
      <c r="D242" s="25"/>
      <c r="E242" s="25"/>
      <c r="F242" s="25"/>
      <c r="G242" s="25"/>
      <c r="H242" s="95"/>
      <c r="I242" s="95"/>
      <c r="J242" s="95"/>
      <c r="K242" s="95"/>
      <c r="L242" s="95"/>
      <c r="M242" s="95"/>
      <c r="N242" s="95"/>
      <c r="O242" s="95"/>
      <c r="P242" s="34">
        <f>SUM(P233:P241)</f>
        <v>7612</v>
      </c>
      <c r="Q242" s="133">
        <f>SUM(Q233:Q241)</f>
        <v>0.99999999999999989</v>
      </c>
      <c r="R242" s="53">
        <f>SUM(R233:R241)</f>
        <v>988572</v>
      </c>
      <c r="S242" s="133">
        <f>SUM(S233:S241)</f>
        <v>1</v>
      </c>
      <c r="T242" s="25"/>
      <c r="U242" s="25"/>
      <c r="V242" s="5"/>
    </row>
    <row r="243" spans="1:22" x14ac:dyDescent="0.35">
      <c r="A243" s="24"/>
      <c r="B243" s="25"/>
      <c r="C243" s="25"/>
      <c r="D243" s="25"/>
      <c r="E243" s="25"/>
      <c r="F243" s="25"/>
      <c r="G243" s="25"/>
      <c r="H243" s="95"/>
      <c r="I243" s="95"/>
      <c r="J243" s="95"/>
      <c r="K243" s="95"/>
      <c r="L243" s="95"/>
      <c r="M243" s="95"/>
      <c r="N243" s="95"/>
      <c r="O243" s="95"/>
      <c r="P243" s="34"/>
      <c r="Q243" s="133"/>
      <c r="R243" s="53"/>
      <c r="S243" s="133"/>
      <c r="T243" s="25"/>
      <c r="U243" s="25"/>
      <c r="V243" s="5"/>
    </row>
    <row r="244" spans="1:22" x14ac:dyDescent="0.35">
      <c r="A244" s="142"/>
      <c r="B244" s="14" t="s">
        <v>172</v>
      </c>
      <c r="C244" s="81"/>
      <c r="D244" s="81"/>
      <c r="E244" s="81"/>
      <c r="F244" s="82"/>
      <c r="G244" s="81"/>
      <c r="H244" s="17"/>
      <c r="I244" s="17"/>
      <c r="J244" s="17"/>
      <c r="K244" s="17"/>
      <c r="L244" s="17"/>
      <c r="M244" s="17"/>
      <c r="N244" s="17"/>
      <c r="O244" s="17"/>
      <c r="P244" s="83" t="s">
        <v>106</v>
      </c>
      <c r="Q244" s="17" t="s">
        <v>107</v>
      </c>
      <c r="R244" s="83" t="s">
        <v>115</v>
      </c>
      <c r="S244" s="17" t="s">
        <v>107</v>
      </c>
      <c r="T244" s="140"/>
      <c r="U244" s="141"/>
      <c r="V244" s="5"/>
    </row>
    <row r="245" spans="1:22" x14ac:dyDescent="0.35">
      <c r="A245" s="24"/>
      <c r="B245" s="54" t="s">
        <v>92</v>
      </c>
      <c r="C245" s="93"/>
      <c r="D245" s="93"/>
      <c r="E245" s="93"/>
      <c r="F245" s="25"/>
      <c r="G245" s="93"/>
      <c r="H245" s="93"/>
      <c r="I245" s="93"/>
      <c r="J245" s="93"/>
      <c r="K245" s="93"/>
      <c r="L245" s="93"/>
      <c r="M245" s="93"/>
      <c r="N245" s="93"/>
      <c r="O245" s="93"/>
      <c r="P245" s="54">
        <v>0</v>
      </c>
      <c r="Q245" s="94">
        <f t="shared" ref="Q245:Q252" si="3">P245/$P$254</f>
        <v>0</v>
      </c>
      <c r="R245" s="53">
        <v>0</v>
      </c>
      <c r="S245" s="133">
        <f t="shared" ref="S245:S252" si="4">R245/$R$254</f>
        <v>0</v>
      </c>
      <c r="T245" s="25"/>
      <c r="U245" s="25"/>
      <c r="V245" s="5"/>
    </row>
    <row r="246" spans="1:22" x14ac:dyDescent="0.35">
      <c r="A246" s="24"/>
      <c r="B246" s="54" t="s">
        <v>93</v>
      </c>
      <c r="C246" s="93"/>
      <c r="D246" s="93"/>
      <c r="E246" s="93"/>
      <c r="F246" s="25"/>
      <c r="G246" s="94"/>
      <c r="H246" s="93"/>
      <c r="I246" s="93"/>
      <c r="J246" s="93"/>
      <c r="K246" s="93"/>
      <c r="L246" s="93"/>
      <c r="M246" s="93"/>
      <c r="N246" s="93"/>
      <c r="O246" s="93"/>
      <c r="P246" s="54">
        <v>0</v>
      </c>
      <c r="Q246" s="94">
        <f t="shared" si="3"/>
        <v>0</v>
      </c>
      <c r="R246" s="53">
        <v>0</v>
      </c>
      <c r="S246" s="133">
        <f t="shared" si="4"/>
        <v>0</v>
      </c>
      <c r="T246" s="25"/>
      <c r="U246" s="25"/>
      <c r="V246" s="5"/>
    </row>
    <row r="247" spans="1:22" x14ac:dyDescent="0.35">
      <c r="A247" s="24"/>
      <c r="B247" s="54" t="s">
        <v>94</v>
      </c>
      <c r="C247" s="93"/>
      <c r="D247" s="93"/>
      <c r="E247" s="93"/>
      <c r="F247" s="25"/>
      <c r="G247" s="94"/>
      <c r="H247" s="93"/>
      <c r="I247" s="93"/>
      <c r="J247" s="93"/>
      <c r="K247" s="93"/>
      <c r="L247" s="93"/>
      <c r="M247" s="93"/>
      <c r="N247" s="93"/>
      <c r="O247" s="93"/>
      <c r="P247" s="54">
        <v>1</v>
      </c>
      <c r="Q247" s="94">
        <f t="shared" si="3"/>
        <v>0.2</v>
      </c>
      <c r="R247" s="53">
        <v>255</v>
      </c>
      <c r="S247" s="133">
        <f t="shared" si="4"/>
        <v>0.28683914510686165</v>
      </c>
      <c r="T247" s="25"/>
      <c r="U247" s="25"/>
      <c r="V247" s="5"/>
    </row>
    <row r="248" spans="1:22" x14ac:dyDescent="0.35">
      <c r="A248" s="24"/>
      <c r="B248" s="54" t="s">
        <v>164</v>
      </c>
      <c r="C248" s="93"/>
      <c r="D248" s="93"/>
      <c r="E248" s="93"/>
      <c r="F248" s="25"/>
      <c r="G248" s="94"/>
      <c r="H248" s="93"/>
      <c r="I248" s="93"/>
      <c r="J248" s="93"/>
      <c r="K248" s="93"/>
      <c r="L248" s="93"/>
      <c r="M248" s="93"/>
      <c r="N248" s="93"/>
      <c r="O248" s="93"/>
      <c r="P248" s="54">
        <v>0</v>
      </c>
      <c r="Q248" s="94">
        <f t="shared" si="3"/>
        <v>0</v>
      </c>
      <c r="R248" s="53">
        <v>0</v>
      </c>
      <c r="S248" s="133">
        <f t="shared" si="4"/>
        <v>0</v>
      </c>
      <c r="T248" s="25"/>
      <c r="U248" s="25"/>
      <c r="V248" s="5"/>
    </row>
    <row r="249" spans="1:22" x14ac:dyDescent="0.35">
      <c r="A249" s="24"/>
      <c r="B249" s="54" t="s">
        <v>165</v>
      </c>
      <c r="C249" s="93"/>
      <c r="D249" s="93"/>
      <c r="E249" s="93"/>
      <c r="F249" s="25"/>
      <c r="G249" s="94"/>
      <c r="H249" s="93"/>
      <c r="I249" s="93"/>
      <c r="J249" s="93"/>
      <c r="K249" s="93"/>
      <c r="L249" s="93"/>
      <c r="M249" s="93"/>
      <c r="N249" s="93"/>
      <c r="O249" s="93"/>
      <c r="P249" s="54">
        <v>1</v>
      </c>
      <c r="Q249" s="94">
        <f t="shared" si="3"/>
        <v>0.2</v>
      </c>
      <c r="R249" s="53">
        <v>255</v>
      </c>
      <c r="S249" s="133">
        <f t="shared" si="4"/>
        <v>0.28683914510686165</v>
      </c>
      <c r="T249" s="25"/>
      <c r="U249" s="25"/>
      <c r="V249" s="5"/>
    </row>
    <row r="250" spans="1:22" x14ac:dyDescent="0.35">
      <c r="A250" s="24"/>
      <c r="B250" s="54" t="s">
        <v>166</v>
      </c>
      <c r="C250" s="93"/>
      <c r="D250" s="93"/>
      <c r="E250" s="93"/>
      <c r="F250" s="25"/>
      <c r="G250" s="94"/>
      <c r="H250" s="93"/>
      <c r="I250" s="93"/>
      <c r="J250" s="93"/>
      <c r="K250" s="93"/>
      <c r="L250" s="93"/>
      <c r="M250" s="93"/>
      <c r="N250" s="93"/>
      <c r="O250" s="93"/>
      <c r="P250" s="54">
        <v>0</v>
      </c>
      <c r="Q250" s="94">
        <f t="shared" si="3"/>
        <v>0</v>
      </c>
      <c r="R250" s="53">
        <v>0</v>
      </c>
      <c r="S250" s="133">
        <f t="shared" si="4"/>
        <v>0</v>
      </c>
      <c r="T250" s="25"/>
      <c r="U250" s="25"/>
      <c r="V250" s="5"/>
    </row>
    <row r="251" spans="1:22" x14ac:dyDescent="0.35">
      <c r="A251" s="24"/>
      <c r="B251" s="54" t="s">
        <v>167</v>
      </c>
      <c r="C251" s="93"/>
      <c r="D251" s="93"/>
      <c r="E251" s="93"/>
      <c r="F251" s="25"/>
      <c r="G251" s="94"/>
      <c r="H251" s="93"/>
      <c r="I251" s="93"/>
      <c r="J251" s="93"/>
      <c r="K251" s="93"/>
      <c r="L251" s="93"/>
      <c r="M251" s="93"/>
      <c r="N251" s="93"/>
      <c r="O251" s="93"/>
      <c r="P251" s="54">
        <v>1</v>
      </c>
      <c r="Q251" s="94">
        <f t="shared" si="3"/>
        <v>0.2</v>
      </c>
      <c r="R251" s="53">
        <v>111</v>
      </c>
      <c r="S251" s="133">
        <f t="shared" si="4"/>
        <v>0.12485939257592801</v>
      </c>
      <c r="T251" s="25"/>
      <c r="U251" s="25"/>
      <c r="V251" s="5"/>
    </row>
    <row r="252" spans="1:22" x14ac:dyDescent="0.35">
      <c r="A252" s="24"/>
      <c r="B252" s="54" t="s">
        <v>168</v>
      </c>
      <c r="C252" s="93"/>
      <c r="D252" s="93"/>
      <c r="E252" s="93"/>
      <c r="F252" s="25"/>
      <c r="G252" s="94"/>
      <c r="H252" s="93"/>
      <c r="I252" s="93"/>
      <c r="J252" s="93"/>
      <c r="K252" s="93"/>
      <c r="L252" s="93"/>
      <c r="M252" s="93"/>
      <c r="N252" s="93"/>
      <c r="O252" s="93"/>
      <c r="P252" s="54">
        <v>2</v>
      </c>
      <c r="Q252" s="94">
        <f t="shared" si="3"/>
        <v>0.4</v>
      </c>
      <c r="R252" s="53">
        <v>268</v>
      </c>
      <c r="S252" s="133">
        <f t="shared" si="4"/>
        <v>0.30146231721034872</v>
      </c>
      <c r="T252" s="25"/>
      <c r="U252" s="25"/>
      <c r="V252" s="5"/>
    </row>
    <row r="253" spans="1:22" x14ac:dyDescent="0.35">
      <c r="A253" s="24"/>
      <c r="B253" s="54"/>
      <c r="C253" s="93"/>
      <c r="D253" s="93"/>
      <c r="E253" s="93"/>
      <c r="F253" s="25"/>
      <c r="G253" s="94"/>
      <c r="H253" s="93"/>
      <c r="I253" s="93"/>
      <c r="J253" s="93"/>
      <c r="K253" s="93"/>
      <c r="L253" s="93"/>
      <c r="M253" s="93"/>
      <c r="N253" s="93"/>
      <c r="O253" s="93"/>
      <c r="P253" s="54"/>
      <c r="Q253" s="94"/>
      <c r="R253" s="53"/>
      <c r="S253" s="133"/>
      <c r="T253" s="25"/>
      <c r="U253" s="25"/>
      <c r="V253" s="5"/>
    </row>
    <row r="254" spans="1:22" x14ac:dyDescent="0.35">
      <c r="A254" s="24"/>
      <c r="B254" s="25"/>
      <c r="C254" s="25"/>
      <c r="D254" s="25"/>
      <c r="E254" s="25"/>
      <c r="F254" s="25"/>
      <c r="G254" s="25"/>
      <c r="H254" s="95"/>
      <c r="I254" s="95"/>
      <c r="J254" s="95"/>
      <c r="K254" s="95"/>
      <c r="L254" s="95"/>
      <c r="M254" s="95"/>
      <c r="N254" s="95"/>
      <c r="O254" s="95"/>
      <c r="P254" s="34">
        <f>SUM(P245:P253)</f>
        <v>5</v>
      </c>
      <c r="Q254" s="133">
        <f>SUM(Q245:Q253)</f>
        <v>1</v>
      </c>
      <c r="R254" s="53">
        <f>SUM(R245:R253)</f>
        <v>889</v>
      </c>
      <c r="S254" s="133">
        <f>SUM(S245:S253)</f>
        <v>1</v>
      </c>
      <c r="T254" s="25"/>
      <c r="U254" s="25"/>
      <c r="V254" s="5"/>
    </row>
    <row r="255" spans="1:22" x14ac:dyDescent="0.35">
      <c r="A255" s="24"/>
      <c r="B255" s="25"/>
      <c r="C255" s="25"/>
      <c r="D255" s="25"/>
      <c r="E255" s="25"/>
      <c r="F255" s="25"/>
      <c r="G255" s="25"/>
      <c r="H255" s="95"/>
      <c r="I255" s="95"/>
      <c r="J255" s="95"/>
      <c r="K255" s="95"/>
      <c r="L255" s="95"/>
      <c r="M255" s="95"/>
      <c r="N255" s="95"/>
      <c r="O255" s="95"/>
      <c r="P255" s="34"/>
      <c r="Q255" s="133"/>
      <c r="R255" s="53"/>
      <c r="S255" s="133"/>
      <c r="T255" s="25"/>
      <c r="U255" s="25"/>
      <c r="V255" s="5"/>
    </row>
    <row r="256" spans="1:22" x14ac:dyDescent="0.35">
      <c r="A256" s="142"/>
      <c r="B256" s="14" t="s">
        <v>173</v>
      </c>
      <c r="C256" s="140"/>
      <c r="D256" s="140"/>
      <c r="E256" s="140"/>
      <c r="F256" s="140"/>
      <c r="G256" s="140"/>
      <c r="H256" s="146"/>
      <c r="I256" s="146"/>
      <c r="J256" s="146"/>
      <c r="K256" s="146"/>
      <c r="L256" s="146"/>
      <c r="M256" s="146"/>
      <c r="N256" s="146"/>
      <c r="O256" s="146"/>
      <c r="P256" s="83" t="s">
        <v>106</v>
      </c>
      <c r="Q256" s="17" t="s">
        <v>107</v>
      </c>
      <c r="R256" s="83" t="s">
        <v>115</v>
      </c>
      <c r="S256" s="17" t="s">
        <v>107</v>
      </c>
      <c r="T256" s="140"/>
      <c r="U256" s="141"/>
      <c r="V256" s="5"/>
    </row>
    <row r="257" spans="1:22" x14ac:dyDescent="0.35">
      <c r="A257" s="24"/>
      <c r="B257" s="54" t="s">
        <v>92</v>
      </c>
      <c r="C257" s="25"/>
      <c r="D257" s="25"/>
      <c r="E257" s="25"/>
      <c r="F257" s="25"/>
      <c r="G257" s="25"/>
      <c r="H257" s="95"/>
      <c r="I257" s="95"/>
      <c r="J257" s="95"/>
      <c r="K257" s="95"/>
      <c r="L257" s="95"/>
      <c r="M257" s="95"/>
      <c r="N257" s="95"/>
      <c r="O257" s="95"/>
      <c r="P257" s="54">
        <v>0</v>
      </c>
      <c r="Q257" s="94">
        <v>0</v>
      </c>
      <c r="R257" s="53">
        <v>0</v>
      </c>
      <c r="S257" s="133">
        <v>0</v>
      </c>
      <c r="T257" s="25"/>
      <c r="U257" s="25"/>
      <c r="V257" s="5"/>
    </row>
    <row r="258" spans="1:22" x14ac:dyDescent="0.35">
      <c r="A258" s="24"/>
      <c r="B258" s="54" t="s">
        <v>93</v>
      </c>
      <c r="C258" s="25"/>
      <c r="D258" s="25"/>
      <c r="E258" s="25"/>
      <c r="F258" s="25"/>
      <c r="G258" s="25"/>
      <c r="H258" s="95"/>
      <c r="I258" s="95"/>
      <c r="J258" s="95"/>
      <c r="K258" s="95"/>
      <c r="L258" s="95"/>
      <c r="M258" s="95"/>
      <c r="N258" s="95"/>
      <c r="O258" s="95"/>
      <c r="P258" s="54">
        <v>0</v>
      </c>
      <c r="Q258" s="94">
        <v>0</v>
      </c>
      <c r="R258" s="53">
        <v>0</v>
      </c>
      <c r="S258" s="133">
        <v>0</v>
      </c>
      <c r="T258" s="25"/>
      <c r="U258" s="25"/>
      <c r="V258" s="5"/>
    </row>
    <row r="259" spans="1:22" x14ac:dyDescent="0.35">
      <c r="A259" s="24"/>
      <c r="B259" s="54" t="s">
        <v>94</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164</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165</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166</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167</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168</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c r="C265" s="25"/>
      <c r="D265" s="25"/>
      <c r="E265" s="25"/>
      <c r="F265" s="25"/>
      <c r="G265" s="25"/>
      <c r="H265" s="95"/>
      <c r="I265" s="95"/>
      <c r="J265" s="95"/>
      <c r="K265" s="95"/>
      <c r="L265" s="95"/>
      <c r="M265" s="95"/>
      <c r="N265" s="95"/>
      <c r="O265" s="95"/>
      <c r="P265" s="54"/>
      <c r="Q265" s="94"/>
      <c r="R265" s="53"/>
      <c r="S265" s="133"/>
      <c r="T265" s="25"/>
      <c r="U265" s="25"/>
      <c r="V265" s="5"/>
    </row>
    <row r="266" spans="1:22" x14ac:dyDescent="0.35">
      <c r="A266" s="24"/>
      <c r="B266" s="25" t="s">
        <v>121</v>
      </c>
      <c r="C266" s="25"/>
      <c r="D266" s="25"/>
      <c r="E266" s="25"/>
      <c r="F266" s="25"/>
      <c r="G266" s="25"/>
      <c r="H266" s="95"/>
      <c r="I266" s="95"/>
      <c r="J266" s="95"/>
      <c r="K266" s="95"/>
      <c r="L266" s="95"/>
      <c r="M266" s="95"/>
      <c r="N266" s="95"/>
      <c r="O266" s="95"/>
      <c r="P266" s="34">
        <f>SUM(P257:P264)</f>
        <v>0</v>
      </c>
      <c r="Q266" s="94">
        <f>SUM(Q257:Q264)</f>
        <v>0</v>
      </c>
      <c r="R266" s="53">
        <f>SUM(R257:R264)</f>
        <v>0</v>
      </c>
      <c r="S266" s="133">
        <f>SUM(S257:S264)</f>
        <v>0</v>
      </c>
      <c r="T266" s="25"/>
      <c r="U266" s="25"/>
      <c r="V266" s="5"/>
    </row>
    <row r="267" spans="1:22" x14ac:dyDescent="0.35">
      <c r="A267" s="24"/>
      <c r="B267" s="25"/>
      <c r="C267" s="25"/>
      <c r="D267" s="25"/>
      <c r="E267" s="25"/>
      <c r="F267" s="25"/>
      <c r="G267" s="25"/>
      <c r="H267" s="95"/>
      <c r="I267" s="95"/>
      <c r="J267" s="95"/>
      <c r="K267" s="95"/>
      <c r="L267" s="95"/>
      <c r="M267" s="95"/>
      <c r="N267" s="95"/>
      <c r="O267" s="95"/>
      <c r="P267" s="34"/>
      <c r="Q267" s="133"/>
      <c r="R267" s="53"/>
      <c r="S267" s="133"/>
      <c r="T267" s="25"/>
      <c r="U267" s="25"/>
      <c r="V267" s="5"/>
    </row>
    <row r="268" spans="1:22" x14ac:dyDescent="0.35">
      <c r="A268" s="24"/>
      <c r="B268" s="143" t="s">
        <v>174</v>
      </c>
      <c r="C268" s="25"/>
      <c r="D268" s="25"/>
      <c r="E268" s="25"/>
      <c r="F268" s="25"/>
      <c r="G268" s="25"/>
      <c r="H268" s="95"/>
      <c r="I268" s="95"/>
      <c r="J268" s="95"/>
      <c r="K268" s="95"/>
      <c r="L268" s="95"/>
      <c r="M268" s="95"/>
      <c r="N268" s="95"/>
      <c r="O268" s="95"/>
      <c r="P268" s="162">
        <f>P266+P254+P242</f>
        <v>7617</v>
      </c>
      <c r="Q268" s="144"/>
      <c r="R268" s="145">
        <f>+R266+R254+R242</f>
        <v>989461</v>
      </c>
      <c r="S268" s="144"/>
      <c r="T268" s="25"/>
      <c r="U268" s="25"/>
      <c r="V268" s="5"/>
    </row>
    <row r="269" spans="1:22" x14ac:dyDescent="0.35">
      <c r="A269" s="24"/>
      <c r="B269" s="25"/>
      <c r="C269" s="25"/>
      <c r="D269" s="25"/>
      <c r="E269" s="25"/>
      <c r="F269" s="25"/>
      <c r="G269" s="25"/>
      <c r="H269" s="95"/>
      <c r="I269" s="95"/>
      <c r="J269" s="95"/>
      <c r="K269" s="95"/>
      <c r="L269" s="95"/>
      <c r="M269" s="95"/>
      <c r="N269" s="95"/>
      <c r="O269" s="95"/>
      <c r="P269" s="95"/>
      <c r="Q269" s="95"/>
      <c r="R269" s="53"/>
      <c r="S269" s="95"/>
      <c r="T269" s="25"/>
      <c r="U269" s="25"/>
      <c r="V269" s="5"/>
    </row>
    <row r="270" spans="1:22" x14ac:dyDescent="0.35">
      <c r="A270" s="6"/>
      <c r="B270" s="8"/>
      <c r="C270" s="8"/>
      <c r="D270" s="8"/>
      <c r="E270" s="8"/>
      <c r="F270" s="8"/>
      <c r="G270" s="8"/>
      <c r="H270" s="96"/>
      <c r="I270" s="96"/>
      <c r="J270" s="96"/>
      <c r="K270" s="96"/>
      <c r="L270" s="96"/>
      <c r="M270" s="96"/>
      <c r="N270" s="96"/>
      <c r="O270" s="96"/>
      <c r="P270" s="96"/>
      <c r="Q270" s="96"/>
      <c r="R270" s="97"/>
      <c r="S270" s="96"/>
      <c r="T270" s="8"/>
      <c r="U270" s="8"/>
      <c r="V270" s="5"/>
    </row>
    <row r="271" spans="1:22" x14ac:dyDescent="0.35">
      <c r="A271" s="98"/>
      <c r="B271" s="14" t="s">
        <v>95</v>
      </c>
      <c r="C271" s="15"/>
      <c r="D271" s="15"/>
      <c r="E271" s="15"/>
      <c r="F271" s="17" t="s">
        <v>101</v>
      </c>
      <c r="G271" s="15"/>
      <c r="H271" s="14" t="s">
        <v>103</v>
      </c>
      <c r="I271" s="12"/>
      <c r="J271" s="12"/>
      <c r="K271" s="12"/>
      <c r="L271" s="12"/>
      <c r="M271" s="12"/>
      <c r="N271" s="12"/>
      <c r="O271" s="12"/>
      <c r="P271" s="12"/>
      <c r="Q271" s="12"/>
      <c r="R271" s="12"/>
      <c r="S271" s="12"/>
      <c r="T271" s="12"/>
      <c r="U271" s="12"/>
      <c r="V271" s="5"/>
    </row>
    <row r="272" spans="1:22" x14ac:dyDescent="0.35">
      <c r="A272" s="98"/>
      <c r="B272" s="13" t="s">
        <v>96</v>
      </c>
      <c r="C272" s="13"/>
      <c r="D272" s="13"/>
      <c r="E272" s="13"/>
      <c r="F272" s="131" t="s">
        <v>155</v>
      </c>
      <c r="G272" s="13"/>
      <c r="H272" s="13" t="s">
        <v>160</v>
      </c>
      <c r="I272" s="163"/>
      <c r="J272" s="163"/>
      <c r="K272" s="12"/>
      <c r="L272" s="12"/>
      <c r="M272" s="12"/>
      <c r="N272" s="12"/>
      <c r="O272" s="12"/>
      <c r="P272" s="12"/>
      <c r="Q272" s="12"/>
      <c r="R272" s="12"/>
      <c r="S272" s="12"/>
      <c r="T272" s="12"/>
      <c r="U272" s="12"/>
      <c r="V272" s="5"/>
    </row>
    <row r="273" spans="1:22" x14ac:dyDescent="0.35">
      <c r="A273" s="98"/>
      <c r="B273" s="13" t="s">
        <v>277</v>
      </c>
      <c r="C273" s="13"/>
      <c r="D273" s="13"/>
      <c r="E273" s="13"/>
      <c r="F273" s="131" t="s">
        <v>278</v>
      </c>
      <c r="G273" s="13"/>
      <c r="H273" s="13" t="s">
        <v>279</v>
      </c>
      <c r="I273" s="163"/>
      <c r="J273" s="163"/>
      <c r="K273" s="12"/>
      <c r="L273" s="12"/>
      <c r="M273" s="12"/>
      <c r="N273" s="12"/>
      <c r="O273" s="12"/>
      <c r="P273" s="12"/>
      <c r="Q273" s="12"/>
      <c r="R273" s="12"/>
      <c r="S273" s="12"/>
      <c r="T273" s="12"/>
      <c r="U273" s="12"/>
      <c r="V273" s="5"/>
    </row>
    <row r="274" spans="1:22" x14ac:dyDescent="0.35">
      <c r="A274" s="98"/>
      <c r="B274" s="13" t="s">
        <v>97</v>
      </c>
      <c r="C274" s="13"/>
      <c r="D274" s="13"/>
      <c r="E274" s="13"/>
      <c r="F274" s="131" t="s">
        <v>154</v>
      </c>
      <c r="G274" s="13"/>
      <c r="H274" s="13" t="s">
        <v>161</v>
      </c>
      <c r="I274" s="163"/>
      <c r="J274" s="163"/>
      <c r="K274" s="12"/>
      <c r="L274" s="12"/>
      <c r="M274" s="12"/>
      <c r="N274" s="12"/>
      <c r="O274" s="12"/>
      <c r="P274" s="12"/>
      <c r="Q274" s="12"/>
      <c r="R274" s="12"/>
      <c r="S274" s="12"/>
      <c r="T274" s="12"/>
      <c r="U274" s="12"/>
      <c r="V274" s="5"/>
    </row>
    <row r="275" spans="1:22" x14ac:dyDescent="0.35">
      <c r="A275" s="98"/>
      <c r="B275" s="13"/>
      <c r="C275" s="13"/>
      <c r="D275" s="13"/>
      <c r="E275" s="13"/>
      <c r="F275" s="13"/>
      <c r="G275" s="99"/>
      <c r="H275" s="12"/>
      <c r="I275" s="12"/>
      <c r="J275" s="12"/>
      <c r="K275" s="12"/>
      <c r="L275" s="12"/>
      <c r="M275" s="12"/>
      <c r="N275" s="12"/>
      <c r="O275" s="12"/>
      <c r="P275" s="12"/>
      <c r="Q275" s="12"/>
      <c r="R275" s="12"/>
      <c r="S275" s="12"/>
      <c r="T275" s="12"/>
      <c r="U275" s="12"/>
      <c r="V275" s="5"/>
    </row>
    <row r="276" spans="1:22" x14ac:dyDescent="0.35">
      <c r="A276" s="98"/>
      <c r="B276" s="13"/>
      <c r="C276" s="13"/>
      <c r="D276" s="13"/>
      <c r="E276" s="13"/>
      <c r="F276" s="13"/>
      <c r="G276" s="99"/>
      <c r="H276" s="12"/>
      <c r="I276" s="12"/>
      <c r="J276" s="12"/>
      <c r="K276" s="12"/>
      <c r="L276" s="12"/>
      <c r="M276" s="12"/>
      <c r="N276" s="12"/>
      <c r="O276" s="12"/>
      <c r="P276" s="12"/>
      <c r="Q276" s="12"/>
      <c r="R276" s="12"/>
      <c r="S276" s="12"/>
      <c r="T276" s="12"/>
      <c r="U276" s="12"/>
      <c r="V276" s="5"/>
    </row>
    <row r="277" spans="1:22" ht="18" thickBot="1" x14ac:dyDescent="0.4">
      <c r="A277" s="98"/>
      <c r="B277" s="49" t="str">
        <f>B193</f>
        <v>PM10 INVESTOR REPORT QUARTER ENDING FEBRUARY 2006</v>
      </c>
      <c r="C277" s="13"/>
      <c r="D277" s="13"/>
      <c r="E277" s="13"/>
      <c r="F277" s="13"/>
      <c r="G277" s="99"/>
      <c r="H277" s="12"/>
      <c r="I277" s="12"/>
      <c r="J277" s="12"/>
      <c r="K277" s="12"/>
      <c r="L277" s="12"/>
      <c r="M277" s="12"/>
      <c r="N277" s="12"/>
      <c r="O277" s="12"/>
      <c r="P277" s="12"/>
      <c r="Q277" s="12"/>
      <c r="R277" s="12"/>
      <c r="S277" s="12"/>
      <c r="T277" s="12"/>
      <c r="U277" s="12"/>
      <c r="V277" s="5"/>
    </row>
    <row r="278" spans="1:22" x14ac:dyDescent="0.35">
      <c r="A278" s="100"/>
      <c r="B278" s="100"/>
      <c r="C278" s="100"/>
      <c r="D278" s="100"/>
      <c r="E278" s="100"/>
      <c r="F278" s="100"/>
      <c r="G278" s="100"/>
      <c r="H278" s="100"/>
      <c r="I278" s="100"/>
      <c r="J278" s="100"/>
      <c r="K278" s="100"/>
      <c r="L278" s="100"/>
      <c r="M278" s="100"/>
      <c r="N278" s="100"/>
      <c r="O278" s="100"/>
      <c r="P278" s="100"/>
      <c r="Q278" s="100"/>
      <c r="R278" s="100"/>
      <c r="S278" s="100"/>
      <c r="T278" s="100"/>
      <c r="U278" s="100"/>
    </row>
  </sheetData>
  <phoneticPr fontId="0" type="noConversion"/>
  <hyperlinks>
    <hyperlink ref="J9" r:id="rId1" xr:uid="{00000000-0004-0000-0000-000000000000}"/>
    <hyperlink ref="N230" r:id="rId2" xr:uid="{00000000-0004-0000-0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4" max="14" man="1"/>
    <brk id="193"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89CB31"/>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0.64129999999999998</v>
      </c>
      <c r="R16" s="17" t="s">
        <v>147</v>
      </c>
      <c r="S16" s="138">
        <v>0.35870000000000002</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39622</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449308.31</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398885.3</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257778.79746159998</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627035.79746160004</v>
      </c>
      <c r="U35" s="34"/>
      <c r="V35" s="5"/>
    </row>
    <row r="36" spans="1:22" x14ac:dyDescent="0.35">
      <c r="A36" s="28"/>
      <c r="B36" s="29" t="s">
        <v>298</v>
      </c>
      <c r="C36" s="126"/>
      <c r="D36" s="35">
        <f>D37*D34</f>
        <v>228849.92480799998</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598106.92480799998</v>
      </c>
      <c r="U36" s="34"/>
      <c r="V36" s="5"/>
    </row>
    <row r="37" spans="1:22" x14ac:dyDescent="0.35">
      <c r="A37" s="24"/>
      <c r="B37" s="122" t="s">
        <v>137</v>
      </c>
      <c r="C37" s="25"/>
      <c r="D37" s="170">
        <v>0.36262299999999997</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0.40846209999999999</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2.6043799999999999E-2</v>
      </c>
      <c r="E40" s="25"/>
      <c r="F40" s="38">
        <v>6.1187499999999999E-2</v>
      </c>
      <c r="G40" s="39"/>
      <c r="H40" s="38">
        <v>4.7660000000000001E-2</v>
      </c>
      <c r="I40" s="39"/>
      <c r="J40" s="38">
        <v>6.2287500000000003E-2</v>
      </c>
      <c r="K40" s="39"/>
      <c r="L40" s="38">
        <v>4.8759999999999998E-2</v>
      </c>
      <c r="M40" s="39"/>
      <c r="N40" s="38">
        <v>6.5087500000000006E-2</v>
      </c>
      <c r="O40" s="39"/>
      <c r="P40" s="38">
        <v>5.1560000000000002E-2</v>
      </c>
      <c r="Q40" s="39"/>
      <c r="R40" s="38"/>
      <c r="S40" s="164"/>
      <c r="T40" s="30"/>
      <c r="U40" s="25"/>
      <c r="V40" s="5"/>
    </row>
    <row r="41" spans="1:22" x14ac:dyDescent="0.35">
      <c r="A41" s="24"/>
      <c r="B41" s="25" t="s">
        <v>13</v>
      </c>
      <c r="C41" s="25"/>
      <c r="D41" s="38">
        <v>3.2112500000000002E-2</v>
      </c>
      <c r="E41" s="25"/>
      <c r="F41" s="38">
        <v>6.5912499999999999E-2</v>
      </c>
      <c r="G41" s="39"/>
      <c r="H41" s="38">
        <v>5.108E-2</v>
      </c>
      <c r="I41" s="39"/>
      <c r="J41" s="38">
        <v>6.7012500000000003E-2</v>
      </c>
      <c r="K41" s="39"/>
      <c r="L41" s="38">
        <v>5.2179999999999997E-2</v>
      </c>
      <c r="M41" s="39"/>
      <c r="N41" s="38">
        <v>6.98125E-2</v>
      </c>
      <c r="O41" s="39"/>
      <c r="P41" s="38">
        <v>5.4980000000000001E-2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6.0743100000000001E-2</v>
      </c>
      <c r="E43" s="25"/>
      <c r="F43" s="38">
        <f>+F40</f>
        <v>6.1187499999999999E-2</v>
      </c>
      <c r="G43" s="39"/>
      <c r="H43" s="38">
        <v>6.1412500000000002E-2</v>
      </c>
      <c r="I43" s="39"/>
      <c r="J43" s="38">
        <f>+J40</f>
        <v>6.2287500000000003E-2</v>
      </c>
      <c r="K43" s="39"/>
      <c r="L43" s="38">
        <v>6.26525E-2</v>
      </c>
      <c r="M43" s="39"/>
      <c r="N43" s="38">
        <f>+N40</f>
        <v>6.5087500000000006E-2</v>
      </c>
      <c r="O43" s="39"/>
      <c r="P43" s="38">
        <v>6.5702499999999997E-2</v>
      </c>
      <c r="Q43" s="30"/>
      <c r="R43" s="30"/>
      <c r="S43" s="164"/>
      <c r="T43" s="39">
        <f>SUMPRODUCT(D43:P43,D35:P35)/T35</f>
        <v>6.1597905846763189E-2</v>
      </c>
      <c r="U43" s="25"/>
      <c r="V43" s="5"/>
    </row>
    <row r="44" spans="1:22" x14ac:dyDescent="0.35">
      <c r="A44" s="24"/>
      <c r="B44" s="25" t="s">
        <v>301</v>
      </c>
      <c r="C44" s="110"/>
      <c r="D44" s="38">
        <v>6.5468100000000001E-2</v>
      </c>
      <c r="E44" s="25"/>
      <c r="F44" s="38">
        <f>+F41</f>
        <v>6.5912499999999999E-2</v>
      </c>
      <c r="G44" s="39"/>
      <c r="H44" s="38">
        <v>6.6137500000000002E-2</v>
      </c>
      <c r="I44" s="39"/>
      <c r="J44" s="38">
        <f>+J41</f>
        <v>6.7012500000000003E-2</v>
      </c>
      <c r="K44" s="39"/>
      <c r="L44" s="38">
        <v>6.7377500000000007E-2</v>
      </c>
      <c r="M44" s="39"/>
      <c r="N44" s="38">
        <f>+N41</f>
        <v>6.98125E-2</v>
      </c>
      <c r="O44" s="39"/>
      <c r="P44" s="38">
        <v>7.0427500000000004E-2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0.23614140282307403</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39615</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39433</v>
      </c>
      <c r="S57" s="46"/>
      <c r="T57" s="45">
        <v>39523</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39524</v>
      </c>
      <c r="S58" s="46"/>
      <c r="T58" s="45">
        <v>39614</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39601</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287</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627036</v>
      </c>
      <c r="M69" s="34"/>
      <c r="N69" s="34">
        <f>28929+3274+515</f>
        <v>32718</v>
      </c>
      <c r="O69" s="34"/>
      <c r="P69" s="34">
        <f>3274+515</f>
        <v>3789</v>
      </c>
      <c r="Q69" s="34"/>
      <c r="R69" s="34">
        <v>0</v>
      </c>
      <c r="S69" s="34"/>
      <c r="T69" s="53">
        <f>+L69-N69+P69-R69</f>
        <v>598107</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627036</v>
      </c>
      <c r="M72" s="34"/>
      <c r="N72" s="34">
        <f>SUM(N69:N71)</f>
        <v>32718</v>
      </c>
      <c r="O72" s="34"/>
      <c r="P72" s="34">
        <f>SUM(P69:P71)</f>
        <v>3789</v>
      </c>
      <c r="Q72" s="34"/>
      <c r="R72" s="34">
        <f>SUM(R69:R71)</f>
        <v>0</v>
      </c>
      <c r="S72" s="34"/>
      <c r="T72" s="54">
        <f>SUM(T69:T71)</f>
        <v>598107</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627036</v>
      </c>
      <c r="M85" s="34"/>
      <c r="N85" s="34"/>
      <c r="O85" s="34"/>
      <c r="P85" s="34"/>
      <c r="Q85" s="34"/>
      <c r="R85" s="54"/>
      <c r="S85" s="34"/>
      <c r="T85" s="54">
        <f>SUM(T72:T84)</f>
        <v>598107</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39598</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32718</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7009+4049-902-502-6</f>
        <v>9648</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122+382</f>
        <v>504</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969</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726</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0</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32718</v>
      </c>
      <c r="S97" s="25"/>
      <c r="T97" s="54">
        <f>SUM(T89:T96)</f>
        <v>11847</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-196</v>
      </c>
      <c r="S98" s="25"/>
      <c r="T98" s="54">
        <v>196</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93</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32522</v>
      </c>
      <c r="S101" s="25"/>
      <c r="T101" s="54">
        <f>T97+T99+T98+T100</f>
        <v>12136</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-238-69-7+6</f>
        <v>-308</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0</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v>-6201</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-1602</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-206</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v>-481</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-304</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-836</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0</v>
      </c>
      <c r="S115" s="25"/>
      <c r="T115" s="53">
        <v>0</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-237</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-1945</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-54</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-21</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-3518</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-28929</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-32522</v>
      </c>
      <c r="S132" s="34"/>
      <c r="T132" s="34">
        <f>SUM(T102:T130)</f>
        <v>-12136</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MAY 2008</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2586</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2317</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0</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0</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0</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598107</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598107</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+'Feb 08'!Q182</f>
        <v>34474</v>
      </c>
      <c r="R180" s="53">
        <f>+'Feb 08'!R182</f>
        <v>5786</v>
      </c>
      <c r="S180" s="25"/>
      <c r="T180" s="53">
        <f>Q180+R180</f>
        <v>40260</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v>3518</v>
      </c>
      <c r="R181" s="34">
        <v>54</v>
      </c>
      <c r="S181" s="25"/>
      <c r="T181" s="53">
        <f>Q181+R181</f>
        <v>3572</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37992</v>
      </c>
      <c r="R182" s="53">
        <f>R181+R180</f>
        <v>5840</v>
      </c>
      <c r="S182" s="25"/>
      <c r="T182" s="53">
        <f>Q182+R182</f>
        <v>43832</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116224.48000000001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1.5154427784185569</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1.42</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5.8544395924308592</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6.92</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2.9254385964912282</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3.55</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MAY 2008</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39598</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6.3579999999999998E-2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6.1597905846763189E-2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1.9820941532368089E-3</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1.93545506159136E-2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19.09</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5.2178822268577882E-2</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0.1983</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1</v>
      </c>
      <c r="R215" s="85">
        <v>29</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42</v>
      </c>
      <c r="R216" s="85">
        <f>+R256</f>
        <v>5953</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0</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'Feb 08'!R222+R221</f>
        <v>385</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3</v>
      </c>
      <c r="R228" s="85">
        <v>847</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5.99</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4252</v>
      </c>
      <c r="Q235" s="94">
        <f t="shared" ref="Q235:Q242" si="1">P235/$P$244</f>
        <v>0.9785960874568469</v>
      </c>
      <c r="R235" s="53">
        <v>580441</v>
      </c>
      <c r="S235" s="133">
        <f t="shared" ref="S235:S242" si="2">R235/$R$244</f>
        <v>0.98021967258517206</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53</v>
      </c>
      <c r="Q236" s="94">
        <f t="shared" si="1"/>
        <v>1.2197928653624856E-2</v>
      </c>
      <c r="R236" s="53">
        <v>7041</v>
      </c>
      <c r="S236" s="133">
        <f t="shared" si="2"/>
        <v>1.1890487947392064E-2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39</v>
      </c>
      <c r="Q237" s="94">
        <f t="shared" si="1"/>
        <v>8.9758342922899893E-3</v>
      </c>
      <c r="R237" s="53">
        <v>4361</v>
      </c>
      <c r="S237" s="133">
        <f t="shared" si="2"/>
        <v>7.3646382528869177E-3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0</v>
      </c>
      <c r="Q238" s="94">
        <f t="shared" si="1"/>
        <v>0</v>
      </c>
      <c r="R238" s="53">
        <v>0</v>
      </c>
      <c r="S238" s="133">
        <f t="shared" si="2"/>
        <v>0</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1</v>
      </c>
      <c r="Q241" s="94">
        <f t="shared" si="1"/>
        <v>2.3014959723820482E-4</v>
      </c>
      <c r="R241" s="53">
        <v>311</v>
      </c>
      <c r="S241" s="133">
        <f t="shared" si="2"/>
        <v>5.2520121454891801E-4</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4345</v>
      </c>
      <c r="Q244" s="133">
        <f>SUM(Q235:Q243)</f>
        <v>1</v>
      </c>
      <c r="R244" s="53">
        <f>SUM(R235:R243)</f>
        <v>592154</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7</v>
      </c>
      <c r="Q247" s="94">
        <f t="shared" ref="Q247:Q254" si="3">P247/$P$256</f>
        <v>0.16666666666666666</v>
      </c>
      <c r="R247" s="53">
        <v>893</v>
      </c>
      <c r="S247" s="133">
        <f t="shared" ref="S247:S254" si="4">R247/$R$256</f>
        <v>0.15000839912649083</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0</v>
      </c>
      <c r="Q248" s="94">
        <f t="shared" si="3"/>
        <v>0</v>
      </c>
      <c r="R248" s="53">
        <v>0</v>
      </c>
      <c r="S248" s="133">
        <f t="shared" si="4"/>
        <v>0</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2</v>
      </c>
      <c r="Q249" s="94">
        <f t="shared" si="3"/>
        <v>4.7619047619047616E-2</v>
      </c>
      <c r="R249" s="53">
        <v>254</v>
      </c>
      <c r="S249" s="133">
        <f t="shared" si="4"/>
        <v>4.2667562573492357E-2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0</v>
      </c>
      <c r="Q250" s="94">
        <f t="shared" si="3"/>
        <v>0</v>
      </c>
      <c r="R250" s="53">
        <v>0</v>
      </c>
      <c r="S250" s="133">
        <f t="shared" si="4"/>
        <v>0</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0</v>
      </c>
      <c r="Q251" s="94">
        <f t="shared" si="3"/>
        <v>0</v>
      </c>
      <c r="R251" s="53">
        <v>0</v>
      </c>
      <c r="S251" s="133">
        <f t="shared" si="4"/>
        <v>0</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6</v>
      </c>
      <c r="Q252" s="94">
        <f t="shared" si="3"/>
        <v>0.14285714285714285</v>
      </c>
      <c r="R252" s="53">
        <v>778</v>
      </c>
      <c r="S252" s="133">
        <f t="shared" si="4"/>
        <v>0.13069040819754746</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17</v>
      </c>
      <c r="Q253" s="94">
        <f t="shared" si="3"/>
        <v>0.40476190476190477</v>
      </c>
      <c r="R253" s="53">
        <v>2524</v>
      </c>
      <c r="S253" s="133">
        <f t="shared" si="4"/>
        <v>0.42398790525785318</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10</v>
      </c>
      <c r="Q254" s="94">
        <f t="shared" si="3"/>
        <v>0.23809523809523808</v>
      </c>
      <c r="R254" s="53">
        <v>1504</v>
      </c>
      <c r="S254" s="133">
        <f t="shared" si="4"/>
        <v>0.25264572484461617</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42</v>
      </c>
      <c r="Q256" s="133">
        <f>SUM(Q247:Q255)</f>
        <v>1</v>
      </c>
      <c r="R256" s="53">
        <f>SUM(R247:R255)</f>
        <v>5953</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4387</v>
      </c>
      <c r="Q270" s="144"/>
      <c r="R270" s="145">
        <f>+R268+R256+R244</f>
        <v>598107</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MAY 2008</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900-000000000000}"/>
    <hyperlink ref="N232" r:id="rId2" xr:uid="{00000000-0004-0000-09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2D2926"/>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0.64429999999999998</v>
      </c>
      <c r="R16" s="17" t="s">
        <v>147</v>
      </c>
      <c r="S16" s="138">
        <v>0.35570000000000002</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39714</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398885.3</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342650.22000000003</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228849.92480799998</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598106.92480799998</v>
      </c>
      <c r="U35" s="34"/>
      <c r="V35" s="5"/>
    </row>
    <row r="36" spans="1:22" x14ac:dyDescent="0.35">
      <c r="A36" s="28"/>
      <c r="B36" s="29" t="s">
        <v>298</v>
      </c>
      <c r="C36" s="126"/>
      <c r="D36" s="35">
        <f>D37*D34</f>
        <v>196586.53021920001</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565843.53021920007</v>
      </c>
      <c r="U36" s="34"/>
      <c r="V36" s="5"/>
    </row>
    <row r="37" spans="1:22" x14ac:dyDescent="0.35">
      <c r="A37" s="24"/>
      <c r="B37" s="122" t="s">
        <v>137</v>
      </c>
      <c r="C37" s="25"/>
      <c r="D37" s="170">
        <v>0.3115002</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0.36262299999999997</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2.5568799999999999E-2</v>
      </c>
      <c r="E40" s="25"/>
      <c r="F40" s="38">
        <v>6.1150000000000003E-2</v>
      </c>
      <c r="G40" s="39"/>
      <c r="H40" s="38">
        <v>5.1180000000000003E-2</v>
      </c>
      <c r="I40" s="39"/>
      <c r="J40" s="38">
        <v>6.225E-2</v>
      </c>
      <c r="K40" s="39"/>
      <c r="L40" s="38">
        <v>5.228E-2</v>
      </c>
      <c r="M40" s="39"/>
      <c r="N40" s="38">
        <v>6.5049999999999997E-2</v>
      </c>
      <c r="O40" s="39"/>
      <c r="P40" s="38">
        <v>5.5079999999999997E-2</v>
      </c>
      <c r="Q40" s="39"/>
      <c r="R40" s="38"/>
      <c r="S40" s="164"/>
      <c r="T40" s="30"/>
      <c r="U40" s="25"/>
      <c r="V40" s="5"/>
    </row>
    <row r="41" spans="1:22" x14ac:dyDescent="0.35">
      <c r="A41" s="24"/>
      <c r="B41" s="25" t="s">
        <v>13</v>
      </c>
      <c r="C41" s="25"/>
      <c r="D41" s="38">
        <v>2.6043799999999999E-2</v>
      </c>
      <c r="E41" s="25"/>
      <c r="F41" s="38">
        <v>6.1187499999999999E-2</v>
      </c>
      <c r="G41" s="39"/>
      <c r="H41" s="38">
        <v>4.7660000000000001E-2</v>
      </c>
      <c r="I41" s="39"/>
      <c r="J41" s="38">
        <v>6.2287500000000003E-2</v>
      </c>
      <c r="K41" s="39"/>
      <c r="L41" s="38">
        <v>4.8759999999999998E-2</v>
      </c>
      <c r="M41" s="39"/>
      <c r="N41" s="38">
        <v>6.5087500000000006E-2</v>
      </c>
      <c r="O41" s="39"/>
      <c r="P41" s="38">
        <v>5.1560000000000002E-2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6.0705599999999998E-2</v>
      </c>
      <c r="E43" s="25"/>
      <c r="F43" s="38">
        <f>+F40</f>
        <v>6.1150000000000003E-2</v>
      </c>
      <c r="G43" s="39"/>
      <c r="H43" s="38">
        <v>6.1374999999999999E-2</v>
      </c>
      <c r="I43" s="39"/>
      <c r="J43" s="38">
        <f>+J40</f>
        <v>6.225E-2</v>
      </c>
      <c r="K43" s="39"/>
      <c r="L43" s="38">
        <v>6.2615000000000004E-2</v>
      </c>
      <c r="M43" s="39"/>
      <c r="N43" s="38">
        <f>+N40</f>
        <v>6.5049999999999997E-2</v>
      </c>
      <c r="O43" s="39"/>
      <c r="P43" s="38">
        <v>6.5665000000000001E-2</v>
      </c>
      <c r="Q43" s="30"/>
      <c r="R43" s="30"/>
      <c r="S43" s="164"/>
      <c r="T43" s="39">
        <f>SUMPRODUCT(D43:P43,D35:P35)/T35</f>
        <v>6.160175057704282E-2</v>
      </c>
      <c r="U43" s="25"/>
      <c r="V43" s="5"/>
    </row>
    <row r="44" spans="1:22" x14ac:dyDescent="0.35">
      <c r="A44" s="24"/>
      <c r="B44" s="25" t="s">
        <v>301</v>
      </c>
      <c r="C44" s="110"/>
      <c r="D44" s="38">
        <v>6.0743100000000001E-2</v>
      </c>
      <c r="E44" s="25"/>
      <c r="F44" s="38">
        <f>+F41</f>
        <v>6.1187499999999999E-2</v>
      </c>
      <c r="G44" s="39"/>
      <c r="H44" s="38">
        <v>6.1412500000000002E-2</v>
      </c>
      <c r="I44" s="39"/>
      <c r="J44" s="38">
        <f>+J41</f>
        <v>6.2287500000000003E-2</v>
      </c>
      <c r="K44" s="39"/>
      <c r="L44" s="38">
        <v>6.26525E-2</v>
      </c>
      <c r="M44" s="39"/>
      <c r="N44" s="38">
        <f>+N41</f>
        <v>6.5087500000000006E-2</v>
      </c>
      <c r="O44" s="39"/>
      <c r="P44" s="38">
        <v>6.5702499999999997E-2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0.25301241811738645</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39706</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39524</v>
      </c>
      <c r="S57" s="46"/>
      <c r="T57" s="45">
        <v>39614</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39615</v>
      </c>
      <c r="S58" s="46"/>
      <c r="T58" s="45">
        <v>39705</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39692</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288</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598107</v>
      </c>
      <c r="M69" s="34"/>
      <c r="N69" s="34">
        <f>32263+1669+343</f>
        <v>34275</v>
      </c>
      <c r="O69" s="34"/>
      <c r="P69" s="34">
        <f>1669+343</f>
        <v>2012</v>
      </c>
      <c r="Q69" s="34"/>
      <c r="R69" s="34">
        <v>0</v>
      </c>
      <c r="S69" s="34"/>
      <c r="T69" s="53">
        <f>+L69-N69+P69-R69</f>
        <v>565844</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598107</v>
      </c>
      <c r="M72" s="34"/>
      <c r="N72" s="34">
        <f>SUM(N69:N71)</f>
        <v>34275</v>
      </c>
      <c r="O72" s="34"/>
      <c r="P72" s="34">
        <f>SUM(P69:P71)</f>
        <v>2012</v>
      </c>
      <c r="Q72" s="34"/>
      <c r="R72" s="34">
        <f>SUM(R69:R71)</f>
        <v>0</v>
      </c>
      <c r="S72" s="34"/>
      <c r="T72" s="54">
        <f>SUM(T69:T71)</f>
        <v>565844</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598107</v>
      </c>
      <c r="M85" s="34"/>
      <c r="N85" s="34"/>
      <c r="O85" s="34"/>
      <c r="P85" s="34"/>
      <c r="Q85" s="34"/>
      <c r="R85" s="54"/>
      <c r="S85" s="34"/>
      <c r="T85" s="54">
        <f>SUM(T72:T84)</f>
        <v>565844</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39691</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34275-168</f>
        <v>34107</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6535+3549-552-477+36+56</f>
        <v>9147</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146+115</f>
        <v>261</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711</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704</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250</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34107</v>
      </c>
      <c r="S97" s="25"/>
      <c r="T97" s="54">
        <f>SUM(T89:T96)</f>
        <v>11073</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-53</v>
      </c>
      <c r="S98" s="25"/>
      <c r="T98" s="54">
        <v>53</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-21</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34054</v>
      </c>
      <c r="S101" s="25"/>
      <c r="T101" s="54">
        <f>T97+T99+T98+T100</f>
        <v>11105</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-226-116-7</f>
        <v>-349</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0</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-7359+1601</f>
        <v>-5758</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-1601</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-206</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f>-687+206</f>
        <v>-481</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-304</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f>-1139+304</f>
        <v>-835</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168</v>
      </c>
      <c r="S115" s="25"/>
      <c r="T115" s="53">
        <v>-168</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-227</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-1160</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-108</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-37</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-1814</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-32263</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-34222</v>
      </c>
      <c r="S132" s="34"/>
      <c r="T132" s="34">
        <f>SUM(T102:T130)</f>
        <v>-11105</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AUGUST 2008</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2317</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168</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168</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-168</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565844</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565844</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+'May 08'!Q182</f>
        <v>37992</v>
      </c>
      <c r="R180" s="53">
        <f>+'May 08'!R182</f>
        <v>5840</v>
      </c>
      <c r="S180" s="25"/>
      <c r="T180" s="53">
        <f>Q180+R180</f>
        <v>43832</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f>1561+253</f>
        <v>1814</v>
      </c>
      <c r="R181" s="34">
        <v>108</v>
      </c>
      <c r="S181" s="25"/>
      <c r="T181" s="53">
        <f>Q181+R181</f>
        <v>1922</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39806</v>
      </c>
      <c r="R182" s="53">
        <f>R181+R180</f>
        <v>5948</v>
      </c>
      <c r="S182" s="25"/>
      <c r="T182" s="53">
        <f>Q182+R182</f>
        <v>45754</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114302.48000000001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1.4612039679304254</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1.42</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4.940320232896652</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6.73</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2.376646180860404</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3.44</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AUGUST 2008</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39691</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6.522E-2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6.160175057704282E-2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3.6182494229571802E-3</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1.856691194050563E-2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18.82</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5.7305799798363838E-2</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0.1993</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92</v>
      </c>
      <c r="R216" s="85">
        <f>+R256</f>
        <v>12519</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168</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'May 08'!R222+R221</f>
        <v>553</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5</v>
      </c>
      <c r="R228" s="85">
        <v>535</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7.02</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3984</v>
      </c>
      <c r="Q235" s="94">
        <f t="shared" ref="Q235:Q242" si="1">P235/$P$244</f>
        <v>0.9815225424981523</v>
      </c>
      <c r="R235" s="53">
        <v>540400</v>
      </c>
      <c r="S235" s="133">
        <f t="shared" ref="S235:S242" si="2">R235/$R$244</f>
        <v>0.97664121447612162</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49</v>
      </c>
      <c r="Q236" s="94">
        <f t="shared" si="1"/>
        <v>1.2071938901207195E-2</v>
      </c>
      <c r="R236" s="53">
        <v>8897</v>
      </c>
      <c r="S236" s="133">
        <f t="shared" si="2"/>
        <v>1.6079157818641845E-2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22</v>
      </c>
      <c r="Q237" s="94">
        <f t="shared" si="1"/>
        <v>5.4200542005420054E-3</v>
      </c>
      <c r="R237" s="53">
        <v>3365</v>
      </c>
      <c r="S237" s="133">
        <f t="shared" si="2"/>
        <v>6.0814168888085668E-3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1</v>
      </c>
      <c r="Q238" s="94">
        <f t="shared" si="1"/>
        <v>2.4636610002463661E-4</v>
      </c>
      <c r="R238" s="53">
        <v>81</v>
      </c>
      <c r="S238" s="133">
        <f t="shared" si="2"/>
        <v>1.463877468034157E-4</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2</v>
      </c>
      <c r="Q239" s="94">
        <f t="shared" si="1"/>
        <v>4.9273220004927322E-4</v>
      </c>
      <c r="R239" s="53">
        <v>270</v>
      </c>
      <c r="S239" s="133">
        <f t="shared" si="2"/>
        <v>4.8795915601138572E-4</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1</v>
      </c>
      <c r="Q241" s="94">
        <f t="shared" si="1"/>
        <v>2.4636610002463661E-4</v>
      </c>
      <c r="R241" s="53">
        <v>312</v>
      </c>
      <c r="S241" s="133">
        <f t="shared" si="2"/>
        <v>5.6386391361315687E-4</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4059</v>
      </c>
      <c r="Q244" s="133">
        <f>SUM(Q235:Q243)</f>
        <v>1</v>
      </c>
      <c r="R244" s="53">
        <f>SUM(R235:R243)</f>
        <v>553325</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6</v>
      </c>
      <c r="Q247" s="94">
        <f t="shared" ref="Q247:Q254" si="3">P247/$P$256</f>
        <v>6.5217391304347824E-2</v>
      </c>
      <c r="R247" s="53">
        <v>1008</v>
      </c>
      <c r="S247" s="133">
        <f t="shared" ref="S247:S254" si="4">R247/$R$256</f>
        <v>8.0517613227893609E-2</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21</v>
      </c>
      <c r="Q248" s="94">
        <f t="shared" si="3"/>
        <v>0.22826086956521738</v>
      </c>
      <c r="R248" s="53">
        <v>2440</v>
      </c>
      <c r="S248" s="133">
        <f t="shared" si="4"/>
        <v>0.19490374630561547</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24</v>
      </c>
      <c r="Q249" s="94">
        <f t="shared" si="3"/>
        <v>0.2608695652173913</v>
      </c>
      <c r="R249" s="53">
        <v>3320</v>
      </c>
      <c r="S249" s="133">
        <f t="shared" si="4"/>
        <v>0.26519690071091939</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8</v>
      </c>
      <c r="Q250" s="94">
        <f t="shared" si="3"/>
        <v>8.6956521739130432E-2</v>
      </c>
      <c r="R250" s="53">
        <v>836</v>
      </c>
      <c r="S250" s="133">
        <f t="shared" si="4"/>
        <v>6.6778496685038741E-2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5</v>
      </c>
      <c r="Q251" s="94">
        <f t="shared" si="3"/>
        <v>5.434782608695652E-2</v>
      </c>
      <c r="R251" s="53">
        <v>806</v>
      </c>
      <c r="S251" s="133">
        <f t="shared" si="4"/>
        <v>6.4382139148494291E-2</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0</v>
      </c>
      <c r="Q252" s="94">
        <f t="shared" si="3"/>
        <v>0</v>
      </c>
      <c r="R252" s="53">
        <v>0</v>
      </c>
      <c r="S252" s="133">
        <f t="shared" si="4"/>
        <v>0</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15</v>
      </c>
      <c r="Q253" s="94">
        <f t="shared" si="3"/>
        <v>0.16304347826086957</v>
      </c>
      <c r="R253" s="53">
        <v>1901</v>
      </c>
      <c r="S253" s="133">
        <f t="shared" si="4"/>
        <v>0.15184918923236682</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13</v>
      </c>
      <c r="Q254" s="94">
        <f t="shared" si="3"/>
        <v>0.14130434782608695</v>
      </c>
      <c r="R254" s="53">
        <v>2208</v>
      </c>
      <c r="S254" s="133">
        <f t="shared" si="4"/>
        <v>0.1763719146896717</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92</v>
      </c>
      <c r="Q256" s="133">
        <f>SUM(Q247:Q255)</f>
        <v>1</v>
      </c>
      <c r="R256" s="53">
        <f>SUM(R247:R255)</f>
        <v>12519</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4151</v>
      </c>
      <c r="Q270" s="144"/>
      <c r="R270" s="145">
        <f>+R268+R256+R244</f>
        <v>565844</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AUGUST 2008</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A00-000000000000}"/>
    <hyperlink ref="N232" r:id="rId2" xr:uid="{00000000-0004-0000-0A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89CB31"/>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0.64970000000000006</v>
      </c>
      <c r="R16" s="17" t="s">
        <v>147</v>
      </c>
      <c r="S16" s="138">
        <v>0.3503</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39805</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342650.22000000003</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276950.51999999996</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196586.53021920001</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565843.53021920007</v>
      </c>
      <c r="U35" s="34"/>
      <c r="V35" s="5"/>
    </row>
    <row r="36" spans="1:22" x14ac:dyDescent="0.35">
      <c r="A36" s="28"/>
      <c r="B36" s="29" t="s">
        <v>298</v>
      </c>
      <c r="C36" s="126"/>
      <c r="D36" s="35">
        <f>D37*D34</f>
        <v>158893.05942719997</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528150.0594272</v>
      </c>
      <c r="U36" s="34"/>
      <c r="V36" s="5"/>
    </row>
    <row r="37" spans="1:22" x14ac:dyDescent="0.35">
      <c r="A37" s="24"/>
      <c r="B37" s="122" t="s">
        <v>137</v>
      </c>
      <c r="C37" s="25"/>
      <c r="D37" s="170">
        <v>0.25177319999999997</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0.3115002</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1.5125E-2</v>
      </c>
      <c r="E40" s="25"/>
      <c r="F40" s="38">
        <v>5.8749999999999997E-2</v>
      </c>
      <c r="G40" s="39"/>
      <c r="H40" s="38">
        <v>5.1180000000000003E-2</v>
      </c>
      <c r="I40" s="39"/>
      <c r="J40" s="38">
        <v>5.985E-2</v>
      </c>
      <c r="K40" s="39"/>
      <c r="L40" s="38">
        <v>5.228E-2</v>
      </c>
      <c r="M40" s="39"/>
      <c r="N40" s="38">
        <v>6.2649999999999997E-2</v>
      </c>
      <c r="O40" s="39"/>
      <c r="P40" s="38">
        <v>5.5079999999999997E-2</v>
      </c>
      <c r="Q40" s="39"/>
      <c r="R40" s="38"/>
      <c r="S40" s="164"/>
      <c r="T40" s="30"/>
      <c r="U40" s="25"/>
      <c r="V40" s="5"/>
    </row>
    <row r="41" spans="1:22" x14ac:dyDescent="0.35">
      <c r="A41" s="24"/>
      <c r="B41" s="25" t="s">
        <v>13</v>
      </c>
      <c r="C41" s="25"/>
      <c r="D41" s="38">
        <v>2.5568799999999999E-2</v>
      </c>
      <c r="E41" s="25"/>
      <c r="F41" s="38">
        <v>6.1150000000000003E-2</v>
      </c>
      <c r="G41" s="39"/>
      <c r="H41" s="38">
        <v>5.1180000000000003E-2</v>
      </c>
      <c r="I41" s="39"/>
      <c r="J41" s="38">
        <v>6.225E-2</v>
      </c>
      <c r="K41" s="39"/>
      <c r="L41" s="38">
        <v>5.228E-2</v>
      </c>
      <c r="M41" s="39"/>
      <c r="N41" s="38">
        <v>6.5049999999999997E-2</v>
      </c>
      <c r="O41" s="39"/>
      <c r="P41" s="38">
        <v>5.5079999999999997E-2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5.8305599999999999E-2</v>
      </c>
      <c r="E43" s="25"/>
      <c r="F43" s="38">
        <f>+F40</f>
        <v>5.8749999999999997E-2</v>
      </c>
      <c r="G43" s="39"/>
      <c r="H43" s="38">
        <v>5.8975E-2</v>
      </c>
      <c r="I43" s="39"/>
      <c r="J43" s="38">
        <v>5.985E-2</v>
      </c>
      <c r="K43" s="39"/>
      <c r="L43" s="38">
        <v>6.0214999999999998E-2</v>
      </c>
      <c r="M43" s="39"/>
      <c r="N43" s="38">
        <f>+N40</f>
        <v>6.2649999999999997E-2</v>
      </c>
      <c r="O43" s="39"/>
      <c r="P43" s="38">
        <v>6.3265000000000002E-2</v>
      </c>
      <c r="Q43" s="30"/>
      <c r="R43" s="30"/>
      <c r="S43" s="164"/>
      <c r="T43" s="39">
        <f>SUMPRODUCT(D43:P43,D35:P35)/T35</f>
        <v>5.9252847493653157E-2</v>
      </c>
      <c r="U43" s="25"/>
      <c r="V43" s="5"/>
    </row>
    <row r="44" spans="1:22" x14ac:dyDescent="0.35">
      <c r="A44" s="24"/>
      <c r="B44" s="25" t="s">
        <v>301</v>
      </c>
      <c r="C44" s="110"/>
      <c r="D44" s="38">
        <v>6.0705599999999998E-2</v>
      </c>
      <c r="E44" s="25"/>
      <c r="F44" s="38">
        <f>+F41</f>
        <v>6.1150000000000003E-2</v>
      </c>
      <c r="G44" s="39"/>
      <c r="H44" s="38">
        <v>6.1374999999999999E-2</v>
      </c>
      <c r="I44" s="39"/>
      <c r="J44" s="38">
        <f>+J41</f>
        <v>6.225E-2</v>
      </c>
      <c r="K44" s="39"/>
      <c r="L44" s="38">
        <v>6.2615000000000004E-2</v>
      </c>
      <c r="M44" s="39"/>
      <c r="N44" s="38">
        <f>+N41</f>
        <v>6.5049999999999997E-2</v>
      </c>
      <c r="O44" s="39"/>
      <c r="P44" s="38">
        <v>6.5665000000000001E-2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0.27605439955461913</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39797</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39615</v>
      </c>
      <c r="S57" s="46"/>
      <c r="T57" s="45">
        <v>39705</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39706</v>
      </c>
      <c r="S58" s="46"/>
      <c r="T58" s="45">
        <v>39796</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39783</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289</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565844</v>
      </c>
      <c r="M69" s="34"/>
      <c r="N69" s="34">
        <f>37693+781+217+1</f>
        <v>38692</v>
      </c>
      <c r="O69" s="34"/>
      <c r="P69" s="34">
        <f>781+217</f>
        <v>998</v>
      </c>
      <c r="Q69" s="34"/>
      <c r="R69" s="34">
        <v>0</v>
      </c>
      <c r="S69" s="34"/>
      <c r="T69" s="53">
        <f>+L69-N69+P69-R69</f>
        <v>528150</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565844</v>
      </c>
      <c r="M72" s="34"/>
      <c r="N72" s="34">
        <f>SUM(N69:N71)</f>
        <v>38692</v>
      </c>
      <c r="O72" s="34"/>
      <c r="P72" s="34">
        <f>SUM(P69:P71)</f>
        <v>998</v>
      </c>
      <c r="Q72" s="34"/>
      <c r="R72" s="34">
        <f>SUM(R69:R71)</f>
        <v>0</v>
      </c>
      <c r="S72" s="34"/>
      <c r="T72" s="54">
        <f>SUM(T69:T71)</f>
        <v>528150</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565844</v>
      </c>
      <c r="M85" s="34"/>
      <c r="N85" s="34"/>
      <c r="O85" s="34"/>
      <c r="P85" s="34"/>
      <c r="Q85" s="34"/>
      <c r="R85" s="54"/>
      <c r="S85" s="34"/>
      <c r="T85" s="54">
        <f>SUM(T72:T84)</f>
        <v>528150</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39780</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38692-76</f>
        <v>38616</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7458+3707-1593-670+59+19</f>
        <v>8980</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177+176</f>
        <v>353</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540</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130</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182</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38616</v>
      </c>
      <c r="S97" s="25"/>
      <c r="T97" s="54">
        <f>SUM(T89:T96)</f>
        <v>10185</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-48</v>
      </c>
      <c r="S98" s="25"/>
      <c r="T98" s="54">
        <v>48</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-57</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38568</v>
      </c>
      <c r="S101" s="25"/>
      <c r="T101" s="54">
        <f>T97+T99+T98+T100</f>
        <v>10176</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-212-88-7</f>
        <v>-307</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0</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-6601+1538</f>
        <v>-5063</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-1538</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-198</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f>-660+198</f>
        <v>-462</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-293</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f>-1097+293</f>
        <v>-804</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76</v>
      </c>
      <c r="S115" s="25"/>
      <c r="T115" s="53">
        <v>-76</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-212</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-1207</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-10</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-52</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-888</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-37694</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-38644</v>
      </c>
      <c r="S132" s="34"/>
      <c r="T132" s="34">
        <f>SUM(T102:T130)</f>
        <v>-10176</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NOVEMBER 2008</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2300</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76</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76</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-76</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528150</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528150</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+'Aug 08'!Q182</f>
        <v>39806</v>
      </c>
      <c r="R180" s="53">
        <f>+'Aug 08'!R182</f>
        <v>5948</v>
      </c>
      <c r="S180" s="25"/>
      <c r="T180" s="53">
        <f>Q180+R180</f>
        <v>45754</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f>770+118</f>
        <v>888</v>
      </c>
      <c r="R181" s="34">
        <v>10</v>
      </c>
      <c r="S181" s="25"/>
      <c r="T181" s="53">
        <f>Q181+R181</f>
        <v>898</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40694</v>
      </c>
      <c r="R182" s="53">
        <f>R181+R180</f>
        <v>5958</v>
      </c>
      <c r="S182" s="25"/>
      <c r="T182" s="53">
        <f>Q182+R182</f>
        <v>46652</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113404.48000000001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1.4946220269656112</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1.42</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4.9469696969696972</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6.58</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2.3746581586144031</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3.35</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NOVEMBER 2008</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39780</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6.9510000000000002E-2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5.9252847493653157E-2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1.0257152506346845E-2</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1.7983755239960129E-2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18.55</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6.8379270611688026E-2</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0.20319999999999999</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2</v>
      </c>
      <c r="R215" s="85">
        <v>172</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138</v>
      </c>
      <c r="R216" s="85">
        <f>+R256</f>
        <v>21335</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76</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'Aug 08'!R222+R221</f>
        <v>629</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3</v>
      </c>
      <c r="R228" s="85">
        <v>377</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11</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3635</v>
      </c>
      <c r="Q235" s="94">
        <f t="shared" ref="Q235:Q242" si="1">P235/$P$244</f>
        <v>0.97114613946032591</v>
      </c>
      <c r="R235" s="53">
        <v>492564</v>
      </c>
      <c r="S235" s="133">
        <f t="shared" ref="S235:S242" si="2">R235/$R$244</f>
        <v>0.9718812584473624</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78</v>
      </c>
      <c r="Q236" s="94">
        <f t="shared" si="1"/>
        <v>2.0838899278653487E-2</v>
      </c>
      <c r="R236" s="53">
        <v>10061</v>
      </c>
      <c r="S236" s="133">
        <f t="shared" si="2"/>
        <v>1.9851425076211241E-2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24</v>
      </c>
      <c r="Q237" s="94">
        <f t="shared" si="1"/>
        <v>6.4119690088164571E-3</v>
      </c>
      <c r="R237" s="53">
        <v>3311</v>
      </c>
      <c r="S237" s="133">
        <f t="shared" si="2"/>
        <v>6.5329558122786419E-3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5</v>
      </c>
      <c r="Q238" s="94">
        <f t="shared" si="1"/>
        <v>1.3358268768367619E-3</v>
      </c>
      <c r="R238" s="53">
        <v>839</v>
      </c>
      <c r="S238" s="133">
        <f t="shared" si="2"/>
        <v>1.6554364018428816E-3</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1</v>
      </c>
      <c r="Q241" s="94">
        <f t="shared" si="1"/>
        <v>2.6716537536735242E-4</v>
      </c>
      <c r="R241" s="53">
        <v>40</v>
      </c>
      <c r="S241" s="133">
        <f t="shared" si="2"/>
        <v>7.8924262304785767E-5</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3743</v>
      </c>
      <c r="Q244" s="133">
        <f>SUM(Q235:Q243)</f>
        <v>0.99999999999999989</v>
      </c>
      <c r="R244" s="53">
        <f>SUM(R235:R243)</f>
        <v>506815</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9</v>
      </c>
      <c r="Q247" s="94">
        <f t="shared" ref="Q247:Q254" si="3">P247/$P$256</f>
        <v>6.5217391304347824E-2</v>
      </c>
      <c r="R247" s="53">
        <v>1856</v>
      </c>
      <c r="S247" s="133">
        <f t="shared" ref="S247:S254" si="4">R247/$R$256</f>
        <v>8.6993203655964371E-2</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63</v>
      </c>
      <c r="Q248" s="94">
        <f t="shared" si="3"/>
        <v>0.45652173913043476</v>
      </c>
      <c r="R248" s="53">
        <v>9878</v>
      </c>
      <c r="S248" s="133">
        <f t="shared" si="4"/>
        <v>0.46299507850949145</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12</v>
      </c>
      <c r="Q249" s="94">
        <f t="shared" si="3"/>
        <v>8.6956521739130432E-2</v>
      </c>
      <c r="R249" s="53">
        <v>1666</v>
      </c>
      <c r="S249" s="133">
        <f t="shared" si="4"/>
        <v>7.8087649402390436E-2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10</v>
      </c>
      <c r="Q250" s="94">
        <f t="shared" si="3"/>
        <v>7.2463768115942032E-2</v>
      </c>
      <c r="R250" s="53">
        <v>1405</v>
      </c>
      <c r="S250" s="133">
        <f t="shared" si="4"/>
        <v>6.585423013827045E-2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5</v>
      </c>
      <c r="Q251" s="94">
        <f t="shared" si="3"/>
        <v>3.6231884057971016E-2</v>
      </c>
      <c r="R251" s="53">
        <v>665</v>
      </c>
      <c r="S251" s="133">
        <f t="shared" si="4"/>
        <v>3.1169439887508789E-2</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9</v>
      </c>
      <c r="Q252" s="94">
        <f t="shared" si="3"/>
        <v>6.5217391304347824E-2</v>
      </c>
      <c r="R252" s="53">
        <v>1211</v>
      </c>
      <c r="S252" s="133">
        <f t="shared" si="4"/>
        <v>5.6761190531989691E-2</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13</v>
      </c>
      <c r="Q253" s="94">
        <f t="shared" si="3"/>
        <v>9.420289855072464E-2</v>
      </c>
      <c r="R253" s="53">
        <v>1689</v>
      </c>
      <c r="S253" s="133">
        <f t="shared" si="4"/>
        <v>7.9165690180454648E-2</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17</v>
      </c>
      <c r="Q254" s="94">
        <f t="shared" si="3"/>
        <v>0.12318840579710146</v>
      </c>
      <c r="R254" s="53">
        <v>2965</v>
      </c>
      <c r="S254" s="133">
        <f t="shared" si="4"/>
        <v>0.13897351769393015</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138</v>
      </c>
      <c r="Q256" s="133">
        <f>SUM(Q247:Q255)</f>
        <v>1</v>
      </c>
      <c r="R256" s="53">
        <f>SUM(R247:R255)</f>
        <v>21335</v>
      </c>
      <c r="S256" s="133">
        <f>SUM(S247:S255)</f>
        <v>0.99999999999999989</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3881</v>
      </c>
      <c r="Q270" s="144"/>
      <c r="R270" s="145">
        <f>+R268+R256+R244</f>
        <v>528150</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NOVEMBER 2008</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B00-000000000000}"/>
    <hyperlink ref="N232" r:id="rId2" xr:uid="{00000000-0004-0000-0B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2D2926"/>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0.6472</v>
      </c>
      <c r="R16" s="17" t="s">
        <v>147</v>
      </c>
      <c r="S16" s="138">
        <v>0.3528</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39895</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276950.51999999996</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256287.79</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158893.05942719997</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528150.0594272</v>
      </c>
      <c r="U35" s="34"/>
      <c r="V35" s="5"/>
    </row>
    <row r="36" spans="1:22" x14ac:dyDescent="0.35">
      <c r="A36" s="28"/>
      <c r="B36" s="29" t="s">
        <v>298</v>
      </c>
      <c r="C36" s="126"/>
      <c r="D36" s="35">
        <f>D37*D34</f>
        <v>147038.3628344</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516295.36283440003</v>
      </c>
      <c r="U36" s="34"/>
      <c r="V36" s="5"/>
    </row>
    <row r="37" spans="1:22" x14ac:dyDescent="0.35">
      <c r="A37" s="24"/>
      <c r="B37" s="122" t="s">
        <v>137</v>
      </c>
      <c r="C37" s="25"/>
      <c r="D37" s="170">
        <v>0.2329889</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0.25177319999999997</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5.5125E-3</v>
      </c>
      <c r="E40" s="25"/>
      <c r="F40" s="38">
        <v>3.2925000000000003E-2</v>
      </c>
      <c r="G40" s="39"/>
      <c r="H40" s="38">
        <v>3.4889999999999997E-2</v>
      </c>
      <c r="I40" s="39"/>
      <c r="J40" s="38">
        <v>3.4025E-2</v>
      </c>
      <c r="K40" s="39"/>
      <c r="L40" s="38">
        <v>3.5990000000000001E-2</v>
      </c>
      <c r="M40" s="39"/>
      <c r="N40" s="38">
        <v>3.6824999999999997E-2</v>
      </c>
      <c r="O40" s="39"/>
      <c r="P40" s="38">
        <v>3.8789999999999998E-2</v>
      </c>
      <c r="Q40" s="39"/>
      <c r="R40" s="38"/>
      <c r="S40" s="164"/>
      <c r="T40" s="30"/>
      <c r="U40" s="25"/>
      <c r="V40" s="5"/>
    </row>
    <row r="41" spans="1:22" x14ac:dyDescent="0.35">
      <c r="A41" s="24"/>
      <c r="B41" s="25" t="s">
        <v>13</v>
      </c>
      <c r="C41" s="25"/>
      <c r="D41" s="38">
        <v>1.5125E-2</v>
      </c>
      <c r="E41" s="25"/>
      <c r="F41" s="38">
        <v>5.8749999999999997E-2</v>
      </c>
      <c r="G41" s="39"/>
      <c r="H41" s="38">
        <v>5.1180000000000003E-2</v>
      </c>
      <c r="I41" s="39"/>
      <c r="J41" s="38">
        <v>5.985E-2</v>
      </c>
      <c r="K41" s="39"/>
      <c r="L41" s="38">
        <v>5.228E-2</v>
      </c>
      <c r="M41" s="39"/>
      <c r="N41" s="38">
        <v>6.2649999999999997E-2</v>
      </c>
      <c r="O41" s="39"/>
      <c r="P41" s="38">
        <v>5.5079999999999997E-2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3.2480599999999998E-2</v>
      </c>
      <c r="E43" s="25"/>
      <c r="F43" s="38">
        <f>+F40</f>
        <v>3.2925000000000003E-2</v>
      </c>
      <c r="G43" s="39"/>
      <c r="H43" s="38">
        <v>3.3149999999999999E-2</v>
      </c>
      <c r="I43" s="39"/>
      <c r="J43" s="38">
        <v>3.4025E-2</v>
      </c>
      <c r="K43" s="39"/>
      <c r="L43" s="38">
        <v>3.4389999999999997E-2</v>
      </c>
      <c r="M43" s="39"/>
      <c r="N43" s="38">
        <f>+N40</f>
        <v>3.6824999999999997E-2</v>
      </c>
      <c r="O43" s="39"/>
      <c r="P43" s="38">
        <v>3.7440000000000001E-2</v>
      </c>
      <c r="Q43" s="30"/>
      <c r="R43" s="30"/>
      <c r="S43" s="164"/>
      <c r="T43" s="39">
        <f>SUMPRODUCT(D43:P43,D35:P35)/T35</f>
        <v>3.3495451473047839E-2</v>
      </c>
      <c r="U43" s="25"/>
      <c r="V43" s="5"/>
    </row>
    <row r="44" spans="1:22" x14ac:dyDescent="0.35">
      <c r="A44" s="24"/>
      <c r="B44" s="25" t="s">
        <v>301</v>
      </c>
      <c r="C44" s="110"/>
      <c r="D44" s="38">
        <v>5.8305599999999999E-2</v>
      </c>
      <c r="E44" s="25"/>
      <c r="F44" s="38">
        <f>+F41</f>
        <v>5.8749999999999997E-2</v>
      </c>
      <c r="G44" s="39"/>
      <c r="H44" s="38">
        <v>5.8975E-2</v>
      </c>
      <c r="I44" s="39"/>
      <c r="J44" s="38">
        <v>5.985E-2</v>
      </c>
      <c r="K44" s="39"/>
      <c r="L44" s="38">
        <v>6.0214999999999998E-2</v>
      </c>
      <c r="M44" s="39"/>
      <c r="N44" s="38">
        <f>+N41</f>
        <v>6.2649999999999997E-2</v>
      </c>
      <c r="O44" s="39"/>
      <c r="P44" s="38">
        <v>6.3265000000000002E-2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0.28419427239350931</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39888</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39706</v>
      </c>
      <c r="S57" s="46"/>
      <c r="T57" s="45">
        <v>39796</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39797</v>
      </c>
      <c r="S58" s="46"/>
      <c r="T58" s="45">
        <v>39887</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39874</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290</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528150</v>
      </c>
      <c r="M69" s="34"/>
      <c r="N69" s="34">
        <f>11855+57+74</f>
        <v>11986</v>
      </c>
      <c r="O69" s="34"/>
      <c r="P69" s="34">
        <f>57+74</f>
        <v>131</v>
      </c>
      <c r="Q69" s="34"/>
      <c r="R69" s="34">
        <v>0</v>
      </c>
      <c r="S69" s="34"/>
      <c r="T69" s="53">
        <f>+L69-N69+P69-R69</f>
        <v>516295</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528150</v>
      </c>
      <c r="M72" s="34"/>
      <c r="N72" s="34">
        <f>SUM(N69:N71)</f>
        <v>11986</v>
      </c>
      <c r="O72" s="34"/>
      <c r="P72" s="34">
        <f>SUM(P69:P71)</f>
        <v>131</v>
      </c>
      <c r="Q72" s="34"/>
      <c r="R72" s="34">
        <f>SUM(R69:R71)</f>
        <v>0</v>
      </c>
      <c r="S72" s="34"/>
      <c r="T72" s="54">
        <f>SUM(T69:T71)</f>
        <v>516295</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528150</v>
      </c>
      <c r="M85" s="34"/>
      <c r="N85" s="34"/>
      <c r="O85" s="34"/>
      <c r="P85" s="34"/>
      <c r="Q85" s="34"/>
      <c r="R85" s="54"/>
      <c r="S85" s="34"/>
      <c r="T85" s="54">
        <f>SUM(T72:T84)</f>
        <v>516295</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39871</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11986-326</f>
        <v>11660</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5068+2981-426-431+25+15</f>
        <v>7232</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100+79</f>
        <v>179</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379</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0</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0</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11660</v>
      </c>
      <c r="S97" s="25"/>
      <c r="T97" s="54">
        <f>SUM(T89:T96)</f>
        <v>7790</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-36</v>
      </c>
      <c r="S98" s="25"/>
      <c r="T98" s="54">
        <v>36</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0</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11624</v>
      </c>
      <c r="S101" s="25"/>
      <c r="T101" s="54">
        <f>T97+T99+T98+T100</f>
        <v>7826</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-196-158-6</f>
        <v>-360</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f>-2-802</f>
        <v>-804</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-3389+862</f>
        <v>-2527</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-862</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f>-376+263</f>
        <v>-113</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f>-263</f>
        <v>-263</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f>-646+472</f>
        <v>-174</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-472</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326</v>
      </c>
      <c r="S115" s="25"/>
      <c r="T115" s="53">
        <v>-326</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-196</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-1713</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-3</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-12</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-80</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-11855</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-11950</v>
      </c>
      <c r="S132" s="34"/>
      <c r="T132" s="34">
        <f>SUM(T102:T130)</f>
        <v>-7826</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FEBRUARY 2009</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2300</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326</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326</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-326</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516295</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516295</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+'Nov 08'!Q182</f>
        <v>40694</v>
      </c>
      <c r="R180" s="53">
        <f>+'Nov 08'!R182</f>
        <v>5958</v>
      </c>
      <c r="S180" s="25"/>
      <c r="T180" s="53">
        <f>Q180+R180</f>
        <v>46652</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f>54+26</f>
        <v>80</v>
      </c>
      <c r="R181" s="34">
        <v>3</v>
      </c>
      <c r="S181" s="25"/>
      <c r="T181" s="53">
        <f>Q181+R181</f>
        <v>83</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40774</v>
      </c>
      <c r="R182" s="53">
        <f>R181+R180</f>
        <v>5961</v>
      </c>
      <c r="S182" s="25"/>
      <c r="T182" s="53">
        <f>Q182+R182</f>
        <v>46735</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113321.48000000001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1.9648863971673061</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1.44</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8.6968085106382986</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6.68</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4.4798761609907123</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3.4</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FEBRUARY 2009</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39871</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4.9509999999999998E-2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3.3495451473047839E-2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1.6014548526952159E-2</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1.4817760106030484E-2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18.329999999999998</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2.2694310328505159E-2</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0.19489999999999999</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2</v>
      </c>
      <c r="R215" s="85">
        <v>172</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172</v>
      </c>
      <c r="R216" s="85">
        <f>+R256</f>
        <v>26373</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326</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'Nov 08'!R222+R221</f>
        <v>955</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7</v>
      </c>
      <c r="R228" s="85">
        <v>1104</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9.43</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3512</v>
      </c>
      <c r="Q235" s="94">
        <f t="shared" ref="Q235:Q242" si="1">P235/$P$244</f>
        <v>0.9723145071982281</v>
      </c>
      <c r="R235" s="53">
        <v>476686</v>
      </c>
      <c r="S235" s="133">
        <f t="shared" ref="S235:S242" si="2">R235/$R$244</f>
        <v>0.97298345450908508</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63</v>
      </c>
      <c r="Q236" s="94">
        <f t="shared" si="1"/>
        <v>1.7441860465116279E-2</v>
      </c>
      <c r="R236" s="53">
        <v>7899</v>
      </c>
      <c r="S236" s="133">
        <f t="shared" si="2"/>
        <v>1.612297467760174E-2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24</v>
      </c>
      <c r="Q237" s="94">
        <f t="shared" si="1"/>
        <v>6.6445182724252493E-3</v>
      </c>
      <c r="R237" s="53">
        <v>3498</v>
      </c>
      <c r="S237" s="133">
        <f t="shared" si="2"/>
        <v>7.1399120676352559E-3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9</v>
      </c>
      <c r="Q238" s="94">
        <f t="shared" si="1"/>
        <v>2.4916943521594683E-3</v>
      </c>
      <c r="R238" s="53">
        <v>1184</v>
      </c>
      <c r="S238" s="133">
        <f t="shared" si="2"/>
        <v>2.4167112315838031E-3</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2</v>
      </c>
      <c r="Q239" s="94">
        <f t="shared" si="1"/>
        <v>5.5370985603543741E-4</v>
      </c>
      <c r="R239" s="53">
        <v>367</v>
      </c>
      <c r="S239" s="133">
        <f t="shared" si="2"/>
        <v>7.4909883614126334E-4</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1</v>
      </c>
      <c r="Q240" s="94">
        <f t="shared" si="1"/>
        <v>2.768549280177187E-4</v>
      </c>
      <c r="R240" s="53">
        <v>92</v>
      </c>
      <c r="S240" s="133">
        <f t="shared" si="2"/>
        <v>1.8778499434603875E-4</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1</v>
      </c>
      <c r="Q241" s="94">
        <f t="shared" si="1"/>
        <v>2.768549280177187E-4</v>
      </c>
      <c r="R241" s="53">
        <v>196</v>
      </c>
      <c r="S241" s="133">
        <f t="shared" si="2"/>
        <v>4.0006368360677821E-4</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3612</v>
      </c>
      <c r="Q244" s="133">
        <f>SUM(Q235:Q243)</f>
        <v>1</v>
      </c>
      <c r="R244" s="53">
        <f>SUM(R235:R243)</f>
        <v>489922</v>
      </c>
      <c r="S244" s="133">
        <f>SUM(S235:S243)</f>
        <v>0.99999999999999989</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57</v>
      </c>
      <c r="Q247" s="94">
        <f t="shared" ref="Q247:Q254" si="3">P247/$P$256</f>
        <v>0.33139534883720928</v>
      </c>
      <c r="R247" s="53">
        <v>11047</v>
      </c>
      <c r="S247" s="133">
        <f t="shared" ref="S247:S254" si="4">R247/$R$256</f>
        <v>0.4188753649565844</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51</v>
      </c>
      <c r="Q248" s="94">
        <f t="shared" si="3"/>
        <v>0.29651162790697677</v>
      </c>
      <c r="R248" s="53">
        <v>6706</v>
      </c>
      <c r="S248" s="133">
        <f t="shared" si="4"/>
        <v>0.2542752057028021</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3</v>
      </c>
      <c r="Q249" s="94">
        <f t="shared" si="3"/>
        <v>1.7441860465116279E-2</v>
      </c>
      <c r="R249" s="53">
        <v>317</v>
      </c>
      <c r="S249" s="133">
        <f t="shared" si="4"/>
        <v>1.2019868805217456E-2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6</v>
      </c>
      <c r="Q250" s="94">
        <f t="shared" si="3"/>
        <v>3.4883720930232558E-2</v>
      </c>
      <c r="R250" s="53">
        <v>592</v>
      </c>
      <c r="S250" s="133">
        <f t="shared" si="4"/>
        <v>2.2447199787661624E-2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3</v>
      </c>
      <c r="Q251" s="94">
        <f t="shared" si="3"/>
        <v>1.7441860465116279E-2</v>
      </c>
      <c r="R251" s="53">
        <v>358</v>
      </c>
      <c r="S251" s="133">
        <f t="shared" si="4"/>
        <v>1.3574489060781861E-2</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7</v>
      </c>
      <c r="Q252" s="94">
        <f t="shared" si="3"/>
        <v>4.0697674418604654E-2</v>
      </c>
      <c r="R252" s="53">
        <v>977</v>
      </c>
      <c r="S252" s="133">
        <f t="shared" si="4"/>
        <v>3.7045463163083457E-2</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24</v>
      </c>
      <c r="Q253" s="94">
        <f t="shared" si="3"/>
        <v>0.13953488372093023</v>
      </c>
      <c r="R253" s="53">
        <v>2878</v>
      </c>
      <c r="S253" s="133">
        <f t="shared" si="4"/>
        <v>0.10912675842717931</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21</v>
      </c>
      <c r="Q254" s="94">
        <f t="shared" si="3"/>
        <v>0.12209302325581395</v>
      </c>
      <c r="R254" s="53">
        <v>3498</v>
      </c>
      <c r="S254" s="133">
        <f t="shared" si="4"/>
        <v>0.13263565009668979</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172</v>
      </c>
      <c r="Q256" s="133">
        <f>SUM(Q247:Q255)</f>
        <v>1</v>
      </c>
      <c r="R256" s="53">
        <f>SUM(R247:R255)</f>
        <v>26373</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3784</v>
      </c>
      <c r="Q270" s="144"/>
      <c r="R270" s="145">
        <f>+R268+R256+R244</f>
        <v>516295</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FEBRUARY 2009</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C00-000000000000}"/>
    <hyperlink ref="N232" r:id="rId2" xr:uid="{00000000-0004-0000-0C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89CB31"/>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0.64749999999999996</v>
      </c>
      <c r="R16" s="17" t="s">
        <v>147</v>
      </c>
      <c r="S16" s="138">
        <v>0.35249999999999998</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39986</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256287.79</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248435.77</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147038.3628344</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516295.36283440003</v>
      </c>
      <c r="U35" s="34"/>
      <c r="V35" s="5"/>
    </row>
    <row r="36" spans="1:22" x14ac:dyDescent="0.35">
      <c r="A36" s="28"/>
      <c r="B36" s="29" t="s">
        <v>298</v>
      </c>
      <c r="C36" s="126"/>
      <c r="D36" s="35">
        <f>D37*D34</f>
        <v>142533.4733672</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511790.4733672</v>
      </c>
      <c r="U36" s="34"/>
      <c r="V36" s="5"/>
    </row>
    <row r="37" spans="1:22" x14ac:dyDescent="0.35">
      <c r="A37" s="24"/>
      <c r="B37" s="122" t="s">
        <v>137</v>
      </c>
      <c r="C37" s="25"/>
      <c r="D37" s="170">
        <v>0.22585069999999999</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0.2329889</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4.3438000000000001E-3</v>
      </c>
      <c r="E40" s="25"/>
      <c r="F40" s="38">
        <v>1.99813E-2</v>
      </c>
      <c r="G40" s="39"/>
      <c r="H40" s="38">
        <v>1.8100000000000002E-2</v>
      </c>
      <c r="I40" s="39"/>
      <c r="J40" s="38">
        <v>2.1081300000000001E-2</v>
      </c>
      <c r="K40" s="39"/>
      <c r="L40" s="38">
        <v>1.9199999999999998E-2</v>
      </c>
      <c r="M40" s="39"/>
      <c r="N40" s="38">
        <v>2.3881300000000001E-2</v>
      </c>
      <c r="O40" s="39"/>
      <c r="P40" s="38">
        <v>2.1999999999999999E-2</v>
      </c>
      <c r="Q40" s="39"/>
      <c r="R40" s="38"/>
      <c r="S40" s="164"/>
      <c r="T40" s="30"/>
      <c r="U40" s="25"/>
      <c r="V40" s="5"/>
    </row>
    <row r="41" spans="1:22" x14ac:dyDescent="0.35">
      <c r="A41" s="24"/>
      <c r="B41" s="25" t="s">
        <v>13</v>
      </c>
      <c r="C41" s="25"/>
      <c r="D41" s="38">
        <v>5.5125E-3</v>
      </c>
      <c r="E41" s="25"/>
      <c r="F41" s="38">
        <v>3.2925000000000003E-2</v>
      </c>
      <c r="G41" s="39"/>
      <c r="H41" s="38">
        <v>3.4889999999999997E-2</v>
      </c>
      <c r="I41" s="39"/>
      <c r="J41" s="38">
        <v>3.4025E-2</v>
      </c>
      <c r="K41" s="39"/>
      <c r="L41" s="38">
        <v>3.5990000000000001E-2</v>
      </c>
      <c r="M41" s="39"/>
      <c r="N41" s="38">
        <v>3.6824999999999997E-2</v>
      </c>
      <c r="O41" s="39"/>
      <c r="P41" s="38">
        <v>3.8789999999999998E-2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1.9536899999999999E-2</v>
      </c>
      <c r="E43" s="25"/>
      <c r="F43" s="38">
        <f>+F40</f>
        <v>1.99813E-2</v>
      </c>
      <c r="G43" s="39"/>
      <c r="H43" s="38">
        <v>2.02063E-2</v>
      </c>
      <c r="I43" s="39"/>
      <c r="J43" s="38">
        <f>+J40</f>
        <v>2.1081300000000001E-2</v>
      </c>
      <c r="K43" s="39"/>
      <c r="L43" s="38">
        <v>2.1446300000000001E-2</v>
      </c>
      <c r="M43" s="39"/>
      <c r="N43" s="38">
        <f>+N40</f>
        <v>2.3881300000000001E-2</v>
      </c>
      <c r="O43" s="39"/>
      <c r="P43" s="38">
        <v>2.4496299999999999E-2</v>
      </c>
      <c r="Q43" s="30"/>
      <c r="R43" s="30"/>
      <c r="S43" s="164"/>
      <c r="T43" s="39">
        <f>SUMPRODUCT(D43:P43,D35:P35)/T35</f>
        <v>2.057505355392204E-2</v>
      </c>
      <c r="U43" s="25"/>
      <c r="V43" s="5"/>
    </row>
    <row r="44" spans="1:22" x14ac:dyDescent="0.35">
      <c r="A44" s="24"/>
      <c r="B44" s="25" t="s">
        <v>301</v>
      </c>
      <c r="C44" s="110"/>
      <c r="D44" s="38">
        <v>3.2480599999999998E-2</v>
      </c>
      <c r="E44" s="25"/>
      <c r="F44" s="38">
        <f>+F41</f>
        <v>3.2925000000000003E-2</v>
      </c>
      <c r="G44" s="39"/>
      <c r="H44" s="38">
        <v>3.3149999999999999E-2</v>
      </c>
      <c r="I44" s="39"/>
      <c r="J44" s="38">
        <f>+J41</f>
        <v>3.4025E-2</v>
      </c>
      <c r="K44" s="39"/>
      <c r="L44" s="38">
        <v>3.4389999999999997E-2</v>
      </c>
      <c r="M44" s="39"/>
      <c r="N44" s="38">
        <f>+N41</f>
        <v>3.6824999999999997E-2</v>
      </c>
      <c r="O44" s="39"/>
      <c r="P44" s="38">
        <v>3.7440000000000001E-2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0.28741479058912178</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39979</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39797</v>
      </c>
      <c r="S57" s="46"/>
      <c r="T57" s="45">
        <v>39887</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39888</v>
      </c>
      <c r="S58" s="46"/>
      <c r="T58" s="45">
        <v>39978</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39965</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293</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516295</v>
      </c>
      <c r="M69" s="34"/>
      <c r="N69" s="34">
        <f>4505+1001+207</f>
        <v>5713</v>
      </c>
      <c r="O69" s="34"/>
      <c r="P69" s="34">
        <f>1001+207</f>
        <v>1208</v>
      </c>
      <c r="Q69" s="34"/>
      <c r="R69" s="34">
        <v>0</v>
      </c>
      <c r="S69" s="34"/>
      <c r="T69" s="53">
        <f>+L69-N69+P69-R69</f>
        <v>511790</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516295</v>
      </c>
      <c r="M72" s="34"/>
      <c r="N72" s="34">
        <f>SUM(N69:N71)</f>
        <v>5713</v>
      </c>
      <c r="O72" s="34"/>
      <c r="P72" s="34">
        <f>SUM(P69:P71)</f>
        <v>1208</v>
      </c>
      <c r="Q72" s="34"/>
      <c r="R72" s="34">
        <f>SUM(R69:R71)</f>
        <v>0</v>
      </c>
      <c r="S72" s="34"/>
      <c r="T72" s="54">
        <f>SUM(T69:T71)</f>
        <v>511790</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516295</v>
      </c>
      <c r="M85" s="34"/>
      <c r="N85" s="34"/>
      <c r="O85" s="34"/>
      <c r="P85" s="34"/>
      <c r="Q85" s="34"/>
      <c r="R85" s="54"/>
      <c r="S85" s="34"/>
      <c r="T85" s="54">
        <f>SUM(T72:T84)</f>
        <v>511790</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39962</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5713-558</f>
        <v>5155</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3802+2165-346-187+40+9-2</f>
        <v>5481</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83+192</f>
        <v>275</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172</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0</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0</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5155</v>
      </c>
      <c r="S97" s="25"/>
      <c r="T97" s="54">
        <f>SUM(T89:T96)</f>
        <v>5928</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-22</v>
      </c>
      <c r="S98" s="25"/>
      <c r="T98" s="54">
        <v>22</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83</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5133</v>
      </c>
      <c r="S101" s="25"/>
      <c r="T101" s="54">
        <f>T97+T99+T98+T100</f>
        <v>6033</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-196-143-6</f>
        <v>-345</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-1124</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-1995+523</f>
        <v>-1472</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-523</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f>-233+163</f>
        <v>-70</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v>-163</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f>-420+307</f>
        <v>-113</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-307</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558</v>
      </c>
      <c r="S115" s="25"/>
      <c r="T115" s="53">
        <v>-558</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-196</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-1146</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-10</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-30</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-1146</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-4505</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-5691</v>
      </c>
      <c r="S132" s="34"/>
      <c r="T132" s="34">
        <f>SUM(T102:T130)</f>
        <v>-6033</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MAY 2009</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2300</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558</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558</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-558</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511790</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511790</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+'Feb 09'!Q182</f>
        <v>40774</v>
      </c>
      <c r="R180" s="53">
        <f>+'Feb 09'!R182</f>
        <v>5961</v>
      </c>
      <c r="S180" s="25"/>
      <c r="T180" s="53">
        <f>Q180+R180</f>
        <v>46735</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f>991+155</f>
        <v>1146</v>
      </c>
      <c r="R181" s="34">
        <v>10</v>
      </c>
      <c r="S181" s="25"/>
      <c r="T181" s="53">
        <f>Q181+R181</f>
        <v>1156</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41920</v>
      </c>
      <c r="R182" s="53">
        <f>R181+R180</f>
        <v>5971</v>
      </c>
      <c r="S182" s="25"/>
      <c r="T182" s="53">
        <f>Q182+R182</f>
        <v>47891</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112165.48000000001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2.2862155388471179</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1.45</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11.012875536480687</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6.79</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5.5547619047619046</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3.47</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MAY 2009</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39962</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3.9620000000000002E-2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2.057505355392204E-2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1.9044946446077963E-2</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1.1685179984311294E-2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18.09</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1.106537928897239E-2</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0.18490000000000001</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172</v>
      </c>
      <c r="R216" s="85">
        <f>+R256</f>
        <v>26374</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558</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'Feb 09'!R222+R221</f>
        <v>1513</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12</v>
      </c>
      <c r="R228" s="85">
        <v>1653</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13.99</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3509</v>
      </c>
      <c r="Q235" s="94">
        <f t="shared" ref="Q235:Q242" si="1">P235/$P$244</f>
        <v>0.98098965613642719</v>
      </c>
      <c r="R235" s="53">
        <v>474636</v>
      </c>
      <c r="S235" s="133">
        <f t="shared" ref="S235:S242" si="2">R235/$R$244</f>
        <v>0.97779224417818944</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41</v>
      </c>
      <c r="Q236" s="94">
        <f t="shared" si="1"/>
        <v>1.1462119094213028E-2</v>
      </c>
      <c r="R236" s="53">
        <v>7018</v>
      </c>
      <c r="S236" s="133">
        <f t="shared" si="2"/>
        <v>1.4457702259505248E-2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9</v>
      </c>
      <c r="Q237" s="94">
        <f t="shared" si="1"/>
        <v>2.516074923119933E-3</v>
      </c>
      <c r="R237" s="53">
        <v>1717</v>
      </c>
      <c r="S237" s="133">
        <f t="shared" si="2"/>
        <v>3.537172239893205E-3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12</v>
      </c>
      <c r="Q238" s="94">
        <f t="shared" si="1"/>
        <v>3.3547665641599105E-3</v>
      </c>
      <c r="R238" s="53">
        <v>1122</v>
      </c>
      <c r="S238" s="133">
        <f t="shared" si="2"/>
        <v>2.3114194834945698E-3</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4</v>
      </c>
      <c r="Q239" s="94">
        <f t="shared" si="1"/>
        <v>1.1182555213866368E-3</v>
      </c>
      <c r="R239" s="53">
        <v>770</v>
      </c>
      <c r="S239" s="133">
        <f t="shared" si="2"/>
        <v>1.5862682729864694E-3</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1</v>
      </c>
      <c r="Q240" s="94">
        <f t="shared" si="1"/>
        <v>2.7956388034665921E-4</v>
      </c>
      <c r="R240" s="53">
        <v>91</v>
      </c>
      <c r="S240" s="133">
        <f t="shared" si="2"/>
        <v>1.8746806862567365E-4</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1</v>
      </c>
      <c r="Q241" s="94">
        <f t="shared" si="1"/>
        <v>2.7956388034665921E-4</v>
      </c>
      <c r="R241" s="53">
        <v>62</v>
      </c>
      <c r="S241" s="133">
        <f t="shared" si="2"/>
        <v>1.2772549730540402E-4</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3577</v>
      </c>
      <c r="Q244" s="133">
        <f>SUM(Q235:Q243)</f>
        <v>1</v>
      </c>
      <c r="R244" s="53">
        <f>SUM(R235:R243)</f>
        <v>485416</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29</v>
      </c>
      <c r="Q247" s="94">
        <f t="shared" ref="Q247:Q254" si="3">P247/$P$256</f>
        <v>0.16860465116279069</v>
      </c>
      <c r="R247" s="53">
        <v>3924</v>
      </c>
      <c r="S247" s="133">
        <f t="shared" ref="S247:S254" si="4">R247/$R$256</f>
        <v>0.14878289224235991</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84</v>
      </c>
      <c r="Q248" s="94">
        <f t="shared" si="3"/>
        <v>0.48837209302325579</v>
      </c>
      <c r="R248" s="53">
        <v>13470</v>
      </c>
      <c r="S248" s="133">
        <f t="shared" si="4"/>
        <v>0.51073026465458404</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12</v>
      </c>
      <c r="Q249" s="94">
        <f t="shared" si="3"/>
        <v>6.9767441860465115E-2</v>
      </c>
      <c r="R249" s="53">
        <v>1493</v>
      </c>
      <c r="S249" s="133">
        <f t="shared" si="4"/>
        <v>5.6608781375597182E-2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2</v>
      </c>
      <c r="Q250" s="94">
        <f t="shared" si="3"/>
        <v>1.1627906976744186E-2</v>
      </c>
      <c r="R250" s="53">
        <v>313</v>
      </c>
      <c r="S250" s="133">
        <f t="shared" si="4"/>
        <v>1.1867748540229013E-2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8</v>
      </c>
      <c r="Q251" s="94">
        <f t="shared" si="3"/>
        <v>4.6511627906976744E-2</v>
      </c>
      <c r="R251" s="53">
        <v>1495</v>
      </c>
      <c r="S251" s="133">
        <f t="shared" si="4"/>
        <v>5.6684613634640175E-2</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3</v>
      </c>
      <c r="Q252" s="94">
        <f t="shared" si="3"/>
        <v>1.7441860465116279E-2</v>
      </c>
      <c r="R252" s="53">
        <v>548</v>
      </c>
      <c r="S252" s="133">
        <f t="shared" si="4"/>
        <v>2.0778038977781146E-2</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12</v>
      </c>
      <c r="Q253" s="94">
        <f t="shared" si="3"/>
        <v>6.9767441860465115E-2</v>
      </c>
      <c r="R253" s="53">
        <v>1521</v>
      </c>
      <c r="S253" s="133">
        <f t="shared" si="4"/>
        <v>5.7670433002199137E-2</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22</v>
      </c>
      <c r="Q254" s="94">
        <f t="shared" si="3"/>
        <v>0.12790697674418605</v>
      </c>
      <c r="R254" s="53">
        <v>3610</v>
      </c>
      <c r="S254" s="133">
        <f t="shared" si="4"/>
        <v>0.13687722757260939</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172</v>
      </c>
      <c r="Q256" s="133">
        <f>SUM(Q247:Q255)</f>
        <v>1</v>
      </c>
      <c r="R256" s="53">
        <f>SUM(R247:R255)</f>
        <v>26374</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3749</v>
      </c>
      <c r="Q270" s="144"/>
      <c r="R270" s="145">
        <f>+R268+R256+R244</f>
        <v>511790</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MAY 2009</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D00-000000000000}"/>
    <hyperlink ref="N232" r:id="rId2" xr:uid="{00000000-0004-0000-0D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2D2926"/>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0.6502</v>
      </c>
      <c r="R16" s="17" t="s">
        <v>147</v>
      </c>
      <c r="S16" s="138">
        <v>0.3498</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40078</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248435.77</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240373.87000000002</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142533.4733672</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511790.4733672</v>
      </c>
      <c r="U35" s="34"/>
      <c r="V35" s="5"/>
    </row>
    <row r="36" spans="1:22" x14ac:dyDescent="0.35">
      <c r="A36" s="28"/>
      <c r="B36" s="29" t="s">
        <v>298</v>
      </c>
      <c r="C36" s="126"/>
      <c r="D36" s="35">
        <f>D37*D34</f>
        <v>137908.17078320001</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507165.17078320001</v>
      </c>
      <c r="U36" s="34"/>
      <c r="V36" s="5"/>
    </row>
    <row r="37" spans="1:22" x14ac:dyDescent="0.35">
      <c r="A37" s="24"/>
      <c r="B37" s="122" t="s">
        <v>137</v>
      </c>
      <c r="C37" s="25"/>
      <c r="D37" s="170">
        <v>0.21852170000000001</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0.22585069999999999</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3.6281E-3</v>
      </c>
      <c r="E40" s="25"/>
      <c r="F40" s="38">
        <v>1.4118800000000001E-2</v>
      </c>
      <c r="G40" s="39"/>
      <c r="H40" s="38">
        <v>1.4370000000000001E-2</v>
      </c>
      <c r="I40" s="39"/>
      <c r="J40" s="38">
        <v>1.5218799999999999E-2</v>
      </c>
      <c r="K40" s="39"/>
      <c r="L40" s="38">
        <v>1.5469999999999999E-2</v>
      </c>
      <c r="M40" s="39"/>
      <c r="N40" s="38">
        <v>1.8018800000000001E-2</v>
      </c>
      <c r="O40" s="39"/>
      <c r="P40" s="38">
        <v>1.8270000000000002E-2</v>
      </c>
      <c r="Q40" s="39"/>
      <c r="R40" s="38"/>
      <c r="S40" s="164"/>
      <c r="T40" s="30"/>
      <c r="U40" s="25"/>
      <c r="V40" s="5"/>
    </row>
    <row r="41" spans="1:22" x14ac:dyDescent="0.35">
      <c r="A41" s="24"/>
      <c r="B41" s="25" t="s">
        <v>13</v>
      </c>
      <c r="C41" s="25"/>
      <c r="D41" s="38">
        <v>4.3438000000000001E-3</v>
      </c>
      <c r="E41" s="25"/>
      <c r="F41" s="38">
        <v>1.99813E-2</v>
      </c>
      <c r="G41" s="39"/>
      <c r="H41" s="38">
        <v>1.8100000000000002E-2</v>
      </c>
      <c r="I41" s="39"/>
      <c r="J41" s="38">
        <v>2.1081300000000001E-2</v>
      </c>
      <c r="K41" s="39"/>
      <c r="L41" s="38">
        <v>1.9199999999999998E-2</v>
      </c>
      <c r="M41" s="39"/>
      <c r="N41" s="38">
        <v>2.3881300000000001E-2</v>
      </c>
      <c r="O41" s="39"/>
      <c r="P41" s="38">
        <v>2.1999999999999999E-2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1.36744E-2</v>
      </c>
      <c r="E43" s="25"/>
      <c r="F43" s="38">
        <f>+F40</f>
        <v>1.4118800000000001E-2</v>
      </c>
      <c r="G43" s="39"/>
      <c r="H43" s="38">
        <v>1.43438E-2</v>
      </c>
      <c r="I43" s="39"/>
      <c r="J43" s="38">
        <f>+J40</f>
        <v>1.5218799999999999E-2</v>
      </c>
      <c r="K43" s="39"/>
      <c r="L43" s="38">
        <v>1.55838E-2</v>
      </c>
      <c r="M43" s="39"/>
      <c r="N43" s="38">
        <f>+N40</f>
        <v>1.8018800000000001E-2</v>
      </c>
      <c r="O43" s="39"/>
      <c r="P43" s="38">
        <v>1.8633799999999999E-2</v>
      </c>
      <c r="Q43" s="30"/>
      <c r="R43" s="30"/>
      <c r="S43" s="164"/>
      <c r="T43" s="39">
        <f>SUMPRODUCT(D43:P43,D35:P35)/T35</f>
        <v>1.4721691604069064E-2</v>
      </c>
      <c r="U43" s="25"/>
      <c r="V43" s="5"/>
    </row>
    <row r="44" spans="1:22" x14ac:dyDescent="0.35">
      <c r="A44" s="24"/>
      <c r="B44" s="25" t="s">
        <v>301</v>
      </c>
      <c r="C44" s="110"/>
      <c r="D44" s="38">
        <v>1.9536899999999999E-2</v>
      </c>
      <c r="E44" s="25"/>
      <c r="F44" s="38">
        <f>+F41</f>
        <v>1.99813E-2</v>
      </c>
      <c r="G44" s="39"/>
      <c r="H44" s="38">
        <v>2.02063E-2</v>
      </c>
      <c r="I44" s="39"/>
      <c r="J44" s="38">
        <f>+J41</f>
        <v>2.1081300000000001E-2</v>
      </c>
      <c r="K44" s="39"/>
      <c r="L44" s="38">
        <v>2.1446300000000001E-2</v>
      </c>
      <c r="M44" s="39"/>
      <c r="N44" s="38">
        <f>+N41</f>
        <v>2.3881300000000001E-2</v>
      </c>
      <c r="O44" s="39"/>
      <c r="P44" s="38">
        <v>2.4496299999999999E-2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0.29079822843145975</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40071</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39888</v>
      </c>
      <c r="S57" s="46"/>
      <c r="T57" s="45">
        <v>39978</v>
      </c>
      <c r="U57" s="25"/>
      <c r="V57" s="5"/>
    </row>
    <row r="58" spans="1:23" x14ac:dyDescent="0.35">
      <c r="A58" s="24"/>
      <c r="B58" s="25" t="s">
        <v>129</v>
      </c>
      <c r="C58" s="25"/>
      <c r="D58" s="25"/>
      <c r="E58" s="25"/>
      <c r="F58" s="25"/>
      <c r="G58" s="25"/>
      <c r="H58" s="25"/>
      <c r="I58" s="25"/>
      <c r="J58" s="25"/>
      <c r="K58" s="25"/>
      <c r="L58" s="25"/>
      <c r="M58" s="25"/>
      <c r="N58" s="25"/>
      <c r="O58" s="25"/>
      <c r="P58" s="25">
        <f>+T58-R58+1</f>
        <v>92</v>
      </c>
      <c r="Q58" s="25"/>
      <c r="R58" s="45">
        <v>39979</v>
      </c>
      <c r="S58" s="46"/>
      <c r="T58" s="45">
        <v>40070</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40057</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294</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511790</v>
      </c>
      <c r="M69" s="34"/>
      <c r="N69" s="34">
        <f>4625+176+93</f>
        <v>4894</v>
      </c>
      <c r="O69" s="34"/>
      <c r="P69" s="34">
        <f>176+93</f>
        <v>269</v>
      </c>
      <c r="Q69" s="34"/>
      <c r="R69" s="34">
        <v>0</v>
      </c>
      <c r="S69" s="34"/>
      <c r="T69" s="53">
        <f>+L69-N69+P69-R69</f>
        <v>507165</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511790</v>
      </c>
      <c r="M72" s="34"/>
      <c r="N72" s="34">
        <f>SUM(N69:N71)</f>
        <v>4894</v>
      </c>
      <c r="O72" s="34"/>
      <c r="P72" s="34">
        <f>SUM(P69:P71)</f>
        <v>269</v>
      </c>
      <c r="Q72" s="34"/>
      <c r="R72" s="34">
        <f>SUM(R69:R71)</f>
        <v>0</v>
      </c>
      <c r="S72" s="34"/>
      <c r="T72" s="54">
        <f>SUM(T69:T71)</f>
        <v>507165</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511790</v>
      </c>
      <c r="M85" s="34"/>
      <c r="N85" s="34"/>
      <c r="O85" s="34"/>
      <c r="P85" s="34"/>
      <c r="Q85" s="34"/>
      <c r="R85" s="54"/>
      <c r="S85" s="34"/>
      <c r="T85" s="54">
        <f>SUM(T72:T84)</f>
        <v>507165</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40053</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4894-231</f>
        <v>4663</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3342+1895-442-287+27+9</f>
        <v>4544</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10+85</f>
        <v>95</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100</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0</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119</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4663</v>
      </c>
      <c r="S97" s="25"/>
      <c r="T97" s="54">
        <f>SUM(T89:T96)</f>
        <v>4858</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-26</v>
      </c>
      <c r="S98" s="25"/>
      <c r="T98" s="54">
        <v>26</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-170</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4637</v>
      </c>
      <c r="S101" s="25"/>
      <c r="T101" s="54">
        <f>T97+T99+T98+T100</f>
        <v>4714</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-195-164-6</f>
        <v>-365</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-1264</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-1407+374</f>
        <v>-1033</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-374</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-52</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f>-171+52</f>
        <v>-119</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-87</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f>-321+87</f>
        <v>-234</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231</v>
      </c>
      <c r="S115" s="25"/>
      <c r="T115" s="53">
        <v>-231</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-195</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-744</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0</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-10</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-233</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-4625</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-4868</v>
      </c>
      <c r="S132" s="34"/>
      <c r="T132" s="34">
        <f>SUM(T102:T130)</f>
        <v>-4714</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AUGUST 2009</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2300</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231</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231</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-231</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507165</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507165</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+'May 09'!Q182</f>
        <v>41920</v>
      </c>
      <c r="R180" s="53">
        <f>+'May 09'!R182</f>
        <v>5971</v>
      </c>
      <c r="S180" s="25"/>
      <c r="T180" s="53">
        <f>Q180+R180</f>
        <v>47891</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f>176+56+1</f>
        <v>233</v>
      </c>
      <c r="R181" s="34">
        <v>0</v>
      </c>
      <c r="S181" s="25"/>
      <c r="T181" s="53">
        <f>Q181+R181</f>
        <v>233</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42153</v>
      </c>
      <c r="R182" s="53">
        <f>R181+R180</f>
        <v>5971</v>
      </c>
      <c r="S182" s="25"/>
      <c r="T182" s="53">
        <f>Q182+R182</f>
        <v>48124</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111932.48000000001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2.1904761904761907</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1.46</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9.7953216374269001</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6.85</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4.685358255451713</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3.49</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AUGUST 2009</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40053</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3.4950000000000002E-2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1.4721691604069064E-2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2.0228308395930938E-2</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9.2108091209285054E-3</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17.87</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9.5625158756521226E-3</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0.1759</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1</v>
      </c>
      <c r="R215" s="85">
        <v>196</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164</v>
      </c>
      <c r="R216" s="85">
        <f>+R256</f>
        <v>24697</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231</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'May 09'!R222+R221</f>
        <v>1744</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7</v>
      </c>
      <c r="R228" s="85">
        <v>1428</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8.56</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3480</v>
      </c>
      <c r="Q235" s="94">
        <f t="shared" ref="Q235:Q242" si="1">P235/$P$244</f>
        <v>0.97890295358649793</v>
      </c>
      <c r="R235" s="53">
        <v>470267</v>
      </c>
      <c r="S235" s="133">
        <f t="shared" ref="S235:S242" si="2">R235/$R$244</f>
        <v>0.97471127618826536</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46</v>
      </c>
      <c r="Q236" s="94">
        <f t="shared" si="1"/>
        <v>1.2939521800281293E-2</v>
      </c>
      <c r="R236" s="53">
        <v>7574</v>
      </c>
      <c r="S236" s="133">
        <f t="shared" si="2"/>
        <v>1.5698450467181244E-2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12</v>
      </c>
      <c r="Q237" s="94">
        <f t="shared" si="1"/>
        <v>3.3755274261603376E-3</v>
      </c>
      <c r="R237" s="53">
        <v>2694</v>
      </c>
      <c r="S237" s="133">
        <f t="shared" si="2"/>
        <v>5.5837900130164073E-3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7</v>
      </c>
      <c r="Q238" s="94">
        <f t="shared" si="1"/>
        <v>1.9690576652601969E-3</v>
      </c>
      <c r="R238" s="53">
        <v>822</v>
      </c>
      <c r="S238" s="133">
        <f t="shared" si="2"/>
        <v>1.7037399371564539E-3</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8</v>
      </c>
      <c r="Q239" s="94">
        <f t="shared" si="1"/>
        <v>2.2503516174402251E-3</v>
      </c>
      <c r="R239" s="53">
        <v>824</v>
      </c>
      <c r="S239" s="133">
        <f t="shared" si="2"/>
        <v>1.7078852898016034E-3</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1</v>
      </c>
      <c r="Q240" s="94">
        <f t="shared" si="1"/>
        <v>2.8129395218002813E-4</v>
      </c>
      <c r="R240" s="53">
        <v>196</v>
      </c>
      <c r="S240" s="133">
        <f t="shared" si="2"/>
        <v>4.0624455922465323E-4</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1</v>
      </c>
      <c r="Q241" s="94">
        <f t="shared" si="1"/>
        <v>2.8129395218002813E-4</v>
      </c>
      <c r="R241" s="53">
        <v>91</v>
      </c>
      <c r="S241" s="133">
        <f t="shared" si="2"/>
        <v>1.8861354535430329E-4</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3555</v>
      </c>
      <c r="Q244" s="133">
        <f>SUM(Q235:Q243)</f>
        <v>1</v>
      </c>
      <c r="R244" s="53">
        <f>SUM(R235:R243)</f>
        <v>482468</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26</v>
      </c>
      <c r="Q247" s="94">
        <f t="shared" ref="Q247:Q254" si="3">P247/$P$256</f>
        <v>0.15853658536585366</v>
      </c>
      <c r="R247" s="53">
        <v>2857</v>
      </c>
      <c r="S247" s="133">
        <f t="shared" ref="S247:S254" si="4">R247/$R$256</f>
        <v>0.11568206664777099</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82</v>
      </c>
      <c r="Q248" s="94">
        <f t="shared" si="3"/>
        <v>0.5</v>
      </c>
      <c r="R248" s="53">
        <v>12716</v>
      </c>
      <c r="S248" s="133">
        <f t="shared" si="4"/>
        <v>0.51488034984006159</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9</v>
      </c>
      <c r="Q249" s="94">
        <f t="shared" si="3"/>
        <v>5.4878048780487805E-2</v>
      </c>
      <c r="R249" s="53">
        <v>1429</v>
      </c>
      <c r="S249" s="133">
        <f t="shared" si="4"/>
        <v>5.7861278697817549E-2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2</v>
      </c>
      <c r="Q250" s="94">
        <f t="shared" si="3"/>
        <v>1.2195121951219513E-2</v>
      </c>
      <c r="R250" s="53">
        <v>294</v>
      </c>
      <c r="S250" s="133">
        <f t="shared" si="4"/>
        <v>1.1904279872049237E-2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4</v>
      </c>
      <c r="Q251" s="94">
        <f t="shared" si="3"/>
        <v>2.4390243902439025E-2</v>
      </c>
      <c r="R251" s="53">
        <v>719</v>
      </c>
      <c r="S251" s="133">
        <f t="shared" si="4"/>
        <v>2.9112847714297282E-2</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2</v>
      </c>
      <c r="Q252" s="94">
        <f t="shared" si="3"/>
        <v>1.2195121951219513E-2</v>
      </c>
      <c r="R252" s="53">
        <v>103</v>
      </c>
      <c r="S252" s="133">
        <f t="shared" si="4"/>
        <v>4.1705470300036438E-3</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11</v>
      </c>
      <c r="Q253" s="94">
        <f t="shared" si="3"/>
        <v>6.7073170731707321E-2</v>
      </c>
      <c r="R253" s="53">
        <v>2307</v>
      </c>
      <c r="S253" s="133">
        <f t="shared" si="4"/>
        <v>9.3412155322508808E-2</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28</v>
      </c>
      <c r="Q254" s="94">
        <f t="shared" si="3"/>
        <v>0.17073170731707318</v>
      </c>
      <c r="R254" s="53">
        <v>4272</v>
      </c>
      <c r="S254" s="133">
        <f t="shared" si="4"/>
        <v>0.17297647487549095</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164</v>
      </c>
      <c r="Q256" s="133">
        <f>SUM(Q247:Q255)</f>
        <v>1</v>
      </c>
      <c r="R256" s="53">
        <f>SUM(R247:R255)</f>
        <v>24697</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3719</v>
      </c>
      <c r="Q270" s="144"/>
      <c r="R270" s="145">
        <f>+R268+R256+R244</f>
        <v>507165</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AUGUST 2009</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E00-000000000000}"/>
    <hyperlink ref="N232" r:id="rId2" xr:uid="{00000000-0004-0000-0E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89CB31"/>
  </sheetPr>
  <dimension ref="A1:W282"/>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0.65149999999999997</v>
      </c>
      <c r="R16" s="17" t="s">
        <v>147</v>
      </c>
      <c r="S16" s="138">
        <v>0.34849999999999998</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40164</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240373.87000000002</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234045.02</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137908.17078320001</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507165.17078320001</v>
      </c>
      <c r="U35" s="34"/>
      <c r="V35" s="5"/>
    </row>
    <row r="36" spans="1:22" x14ac:dyDescent="0.35">
      <c r="A36" s="28"/>
      <c r="B36" s="29" t="s">
        <v>298</v>
      </c>
      <c r="C36" s="126"/>
      <c r="D36" s="35">
        <f>D37*D34</f>
        <v>134277.15994719998</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503534.15994719998</v>
      </c>
      <c r="U36" s="34"/>
      <c r="V36" s="5"/>
    </row>
    <row r="37" spans="1:22" x14ac:dyDescent="0.35">
      <c r="A37" s="24"/>
      <c r="B37" s="122" t="s">
        <v>137</v>
      </c>
      <c r="C37" s="25"/>
      <c r="D37" s="170">
        <v>0.21276819999999999</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0.21852170000000001</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3.2875000000000001E-3</v>
      </c>
      <c r="E40" s="25"/>
      <c r="F40" s="38">
        <v>7.7063000000000001E-3</v>
      </c>
      <c r="G40" s="39"/>
      <c r="H40" s="38">
        <v>9.3299999999999998E-3</v>
      </c>
      <c r="I40" s="39"/>
      <c r="J40" s="38">
        <v>8.8062999999999995E-3</v>
      </c>
      <c r="K40" s="39"/>
      <c r="L40" s="38">
        <v>1.043E-2</v>
      </c>
      <c r="M40" s="39"/>
      <c r="N40" s="38">
        <v>1.16063E-2</v>
      </c>
      <c r="O40" s="39"/>
      <c r="P40" s="38">
        <v>1.323E-2</v>
      </c>
      <c r="Q40" s="39"/>
      <c r="R40" s="38"/>
      <c r="S40" s="164"/>
      <c r="T40" s="30"/>
      <c r="U40" s="25"/>
      <c r="V40" s="5"/>
    </row>
    <row r="41" spans="1:22" x14ac:dyDescent="0.35">
      <c r="A41" s="24"/>
      <c r="B41" s="25" t="s">
        <v>13</v>
      </c>
      <c r="C41" s="25"/>
      <c r="D41" s="38">
        <v>3.6281E-3</v>
      </c>
      <c r="E41" s="25"/>
      <c r="F41" s="38">
        <v>1.4118800000000001E-2</v>
      </c>
      <c r="G41" s="39"/>
      <c r="H41" s="38">
        <v>1.4370000000000001E-2</v>
      </c>
      <c r="I41" s="39"/>
      <c r="J41" s="38">
        <v>1.5218799999999999E-2</v>
      </c>
      <c r="K41" s="39"/>
      <c r="L41" s="38">
        <v>1.5469999999999999E-2</v>
      </c>
      <c r="M41" s="39"/>
      <c r="N41" s="38">
        <v>1.8018800000000001E-2</v>
      </c>
      <c r="O41" s="39"/>
      <c r="P41" s="38">
        <v>1.8270000000000002E-2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7.2619E-3</v>
      </c>
      <c r="E43" s="25"/>
      <c r="F43" s="38">
        <f>+F40</f>
        <v>7.7063000000000001E-3</v>
      </c>
      <c r="G43" s="39"/>
      <c r="H43" s="38">
        <v>7.9313000000000005E-3</v>
      </c>
      <c r="I43" s="39"/>
      <c r="J43" s="38">
        <f>+J40</f>
        <v>8.8062999999999995E-3</v>
      </c>
      <c r="K43" s="39"/>
      <c r="L43" s="38">
        <v>9.1713000000000003E-3</v>
      </c>
      <c r="M43" s="39"/>
      <c r="N43" s="38">
        <f>+N40</f>
        <v>1.16063E-2</v>
      </c>
      <c r="O43" s="39"/>
      <c r="P43" s="38">
        <v>1.2221299999999999E-2</v>
      </c>
      <c r="Q43" s="30"/>
      <c r="R43" s="30"/>
      <c r="S43" s="164"/>
      <c r="T43" s="39">
        <f>SUMPRODUCT(D43:P43,D35:P35)/T35</f>
        <v>8.318742813106194E-3</v>
      </c>
      <c r="U43" s="25"/>
      <c r="V43" s="5"/>
    </row>
    <row r="44" spans="1:22" x14ac:dyDescent="0.35">
      <c r="A44" s="24"/>
      <c r="B44" s="25" t="s">
        <v>301</v>
      </c>
      <c r="C44" s="110"/>
      <c r="D44" s="38">
        <v>1.36744E-2</v>
      </c>
      <c r="E44" s="25"/>
      <c r="F44" s="38">
        <f>+F41</f>
        <v>1.4118800000000001E-2</v>
      </c>
      <c r="G44" s="39"/>
      <c r="H44" s="38">
        <v>1.43438E-2</v>
      </c>
      <c r="I44" s="39"/>
      <c r="J44" s="38">
        <f>+J41</f>
        <v>1.5218799999999999E-2</v>
      </c>
      <c r="K44" s="39"/>
      <c r="L44" s="38">
        <v>1.55838E-2</v>
      </c>
      <c r="M44" s="39"/>
      <c r="N44" s="38">
        <f>+N41</f>
        <v>1.8018800000000001E-2</v>
      </c>
      <c r="O44" s="39"/>
      <c r="P44" s="38">
        <v>1.8633799999999999E-2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0.29351066991831054</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40162</v>
      </c>
      <c r="U56" s="25"/>
      <c r="V56" s="5"/>
    </row>
    <row r="57" spans="1:23" x14ac:dyDescent="0.35">
      <c r="A57" s="24"/>
      <c r="B57" s="25" t="s">
        <v>128</v>
      </c>
      <c r="C57" s="25"/>
      <c r="D57" s="25"/>
      <c r="E57" s="25"/>
      <c r="F57" s="25"/>
      <c r="G57" s="25"/>
      <c r="H57" s="58"/>
      <c r="I57" s="58"/>
      <c r="J57" s="58"/>
      <c r="K57" s="58"/>
      <c r="L57" s="58"/>
      <c r="M57" s="58"/>
      <c r="N57" s="58"/>
      <c r="O57" s="58"/>
      <c r="P57" s="25">
        <f>+T57-R57+1</f>
        <v>92</v>
      </c>
      <c r="Q57" s="25"/>
      <c r="R57" s="45">
        <v>39979</v>
      </c>
      <c r="S57" s="46"/>
      <c r="T57" s="45">
        <v>40070</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40071</v>
      </c>
      <c r="S58" s="46"/>
      <c r="T58" s="45">
        <v>40161</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40148</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303</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507165</v>
      </c>
      <c r="M69" s="34"/>
      <c r="N69" s="34">
        <f>3631+28+69</f>
        <v>3728</v>
      </c>
      <c r="O69" s="34"/>
      <c r="P69" s="34">
        <f>28+69</f>
        <v>97</v>
      </c>
      <c r="Q69" s="34"/>
      <c r="R69" s="34">
        <v>0</v>
      </c>
      <c r="S69" s="34"/>
      <c r="T69" s="53">
        <f>+L69-N69+P69-R69</f>
        <v>503534</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507165</v>
      </c>
      <c r="M72" s="34"/>
      <c r="N72" s="34">
        <f>SUM(N69:N71)</f>
        <v>3728</v>
      </c>
      <c r="O72" s="34"/>
      <c r="P72" s="34">
        <f>SUM(P69:P71)</f>
        <v>97</v>
      </c>
      <c r="Q72" s="34"/>
      <c r="R72" s="34">
        <f>SUM(R69:R71)</f>
        <v>0</v>
      </c>
      <c r="S72" s="34"/>
      <c r="T72" s="54">
        <f>SUM(T69:T71)</f>
        <v>503534</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507165</v>
      </c>
      <c r="M85" s="34"/>
      <c r="N85" s="34"/>
      <c r="O85" s="34"/>
      <c r="P85" s="34"/>
      <c r="Q85" s="34"/>
      <c r="R85" s="54"/>
      <c r="S85" s="34"/>
      <c r="T85" s="54">
        <f>SUM(T72:T84)</f>
        <v>503534</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+R198</f>
        <v>40147</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3728-481</f>
        <v>3247</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3173+1959+13-630-433</f>
        <v>4082</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91+94</f>
        <v>185</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62</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0</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0</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3247</v>
      </c>
      <c r="S97" s="25"/>
      <c r="T97" s="54">
        <f>SUM(T89:T96)</f>
        <v>4329</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-15</v>
      </c>
      <c r="S98" s="25"/>
      <c r="T98" s="54">
        <v>15</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-444</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3232</v>
      </c>
      <c r="S101" s="25"/>
      <c r="T101" s="54">
        <f>T97+T99+T98+T100</f>
        <v>3900</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-191-158-6</f>
        <v>-355</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-1315</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-748+202</f>
        <v>-546</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-202</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-30</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v>-68</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-57</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-149</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481</v>
      </c>
      <c r="S115" s="25"/>
      <c r="T115" s="53">
        <v>-481</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-191</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-490</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-R182</f>
        <v>0</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-54</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-Q182</f>
        <v>-28</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-3631</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-3713</v>
      </c>
      <c r="S132" s="34"/>
      <c r="T132" s="34">
        <f>SUM(T102:T130)</f>
        <v>-3900</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NOVEMBER 2009</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2300</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481</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481</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-481</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x14ac:dyDescent="0.35">
      <c r="A170" s="24"/>
      <c r="B170" s="25" t="s">
        <v>285</v>
      </c>
      <c r="C170" s="25"/>
      <c r="D170" s="25"/>
      <c r="E170" s="25"/>
      <c r="F170" s="25"/>
      <c r="G170" s="25"/>
      <c r="H170" s="25"/>
      <c r="I170" s="25"/>
      <c r="J170" s="25"/>
      <c r="K170" s="25"/>
      <c r="L170" s="25"/>
      <c r="M170" s="25"/>
      <c r="N170" s="25"/>
      <c r="O170" s="25"/>
      <c r="P170" s="25"/>
      <c r="Q170" s="25"/>
      <c r="R170" s="25"/>
      <c r="S170" s="25"/>
      <c r="T170" s="53">
        <f>-T100</f>
        <v>444</v>
      </c>
      <c r="U170" s="25"/>
      <c r="V170" s="5"/>
    </row>
    <row r="171" spans="1:22" ht="16" thickBot="1" x14ac:dyDescent="0.4">
      <c r="A171" s="24"/>
      <c r="B171" s="25"/>
      <c r="C171" s="25"/>
      <c r="D171" s="25"/>
      <c r="E171" s="25"/>
      <c r="F171" s="25"/>
      <c r="G171" s="25"/>
      <c r="H171" s="25"/>
      <c r="I171" s="25"/>
      <c r="J171" s="25"/>
      <c r="K171" s="25"/>
      <c r="L171" s="25"/>
      <c r="M171" s="25"/>
      <c r="N171" s="25"/>
      <c r="O171" s="25"/>
      <c r="P171" s="25"/>
      <c r="Q171" s="25"/>
      <c r="R171" s="25"/>
      <c r="S171" s="25"/>
      <c r="T171" s="61"/>
      <c r="U171" s="25"/>
      <c r="V171" s="5"/>
    </row>
    <row r="172" spans="1:22" x14ac:dyDescent="0.35">
      <c r="A172" s="2"/>
      <c r="B172" s="4"/>
      <c r="C172" s="4"/>
      <c r="D172" s="4"/>
      <c r="E172" s="4"/>
      <c r="F172" s="4"/>
      <c r="G172" s="4"/>
      <c r="H172" s="4"/>
      <c r="I172" s="4"/>
      <c r="J172" s="4"/>
      <c r="K172" s="4"/>
      <c r="L172" s="4"/>
      <c r="M172" s="4"/>
      <c r="N172" s="4"/>
      <c r="O172" s="4"/>
      <c r="P172" s="4"/>
      <c r="Q172" s="4"/>
      <c r="R172" s="4"/>
      <c r="S172" s="4"/>
      <c r="T172" s="50"/>
      <c r="U172" s="4"/>
      <c r="V172" s="5"/>
    </row>
    <row r="173" spans="1:22" x14ac:dyDescent="0.35">
      <c r="A173" s="6"/>
      <c r="B173" s="119" t="s">
        <v>58</v>
      </c>
      <c r="C173" s="8"/>
      <c r="D173" s="8"/>
      <c r="E173" s="8"/>
      <c r="F173" s="8"/>
      <c r="G173" s="8"/>
      <c r="H173" s="8"/>
      <c r="I173" s="8"/>
      <c r="J173" s="8"/>
      <c r="K173" s="8"/>
      <c r="L173" s="8"/>
      <c r="M173" s="8"/>
      <c r="N173" s="8"/>
      <c r="O173" s="8"/>
      <c r="P173" s="8"/>
      <c r="Q173" s="8"/>
      <c r="R173" s="8"/>
      <c r="S173" s="8"/>
      <c r="T173" s="52"/>
      <c r="U173" s="8"/>
      <c r="V173" s="5"/>
    </row>
    <row r="174" spans="1:22" x14ac:dyDescent="0.35">
      <c r="A174" s="6"/>
      <c r="B174" s="21"/>
      <c r="C174" s="8"/>
      <c r="D174" s="8"/>
      <c r="E174" s="8"/>
      <c r="F174" s="8"/>
      <c r="G174" s="8"/>
      <c r="H174" s="8"/>
      <c r="I174" s="8"/>
      <c r="J174" s="8"/>
      <c r="K174" s="8"/>
      <c r="L174" s="8"/>
      <c r="M174" s="8"/>
      <c r="N174" s="8"/>
      <c r="O174" s="8"/>
      <c r="P174" s="8"/>
      <c r="Q174" s="8"/>
      <c r="R174" s="8"/>
      <c r="S174" s="8"/>
      <c r="T174" s="52"/>
      <c r="U174" s="8"/>
      <c r="V174" s="5"/>
    </row>
    <row r="175" spans="1:22" x14ac:dyDescent="0.35">
      <c r="A175" s="24"/>
      <c r="B175" s="25" t="s">
        <v>59</v>
      </c>
      <c r="C175" s="25"/>
      <c r="D175" s="25"/>
      <c r="E175" s="25"/>
      <c r="F175" s="25"/>
      <c r="G175" s="25"/>
      <c r="H175" s="25"/>
      <c r="I175" s="25"/>
      <c r="J175" s="25"/>
      <c r="K175" s="25"/>
      <c r="L175" s="25"/>
      <c r="M175" s="25"/>
      <c r="N175" s="25"/>
      <c r="O175" s="25"/>
      <c r="P175" s="25"/>
      <c r="Q175" s="25"/>
      <c r="R175" s="25"/>
      <c r="S175" s="25"/>
      <c r="T175" s="53">
        <f>T72</f>
        <v>503534</v>
      </c>
      <c r="U175" s="25"/>
      <c r="V175" s="5"/>
    </row>
    <row r="176" spans="1:22" x14ac:dyDescent="0.35">
      <c r="A176" s="24"/>
      <c r="B176" s="25" t="s">
        <v>60</v>
      </c>
      <c r="C176" s="25"/>
      <c r="D176" s="25"/>
      <c r="E176" s="25"/>
      <c r="F176" s="25"/>
      <c r="G176" s="25"/>
      <c r="H176" s="25"/>
      <c r="I176" s="25"/>
      <c r="J176" s="25"/>
      <c r="K176" s="25"/>
      <c r="L176" s="25"/>
      <c r="M176" s="25"/>
      <c r="N176" s="25"/>
      <c r="O176" s="25"/>
      <c r="P176" s="25"/>
      <c r="Q176" s="25"/>
      <c r="R176" s="25"/>
      <c r="S176" s="25"/>
      <c r="T176" s="53">
        <f>T85</f>
        <v>503534</v>
      </c>
      <c r="U176" s="25"/>
      <c r="V176" s="5"/>
    </row>
    <row r="177" spans="1:22" ht="16" thickBot="1" x14ac:dyDescent="0.4">
      <c r="A177" s="24"/>
      <c r="B177" s="25"/>
      <c r="C177" s="25"/>
      <c r="D177" s="25"/>
      <c r="E177" s="25"/>
      <c r="F177" s="25"/>
      <c r="G177" s="25"/>
      <c r="H177" s="25"/>
      <c r="I177" s="25"/>
      <c r="J177" s="25"/>
      <c r="K177" s="25"/>
      <c r="L177" s="25"/>
      <c r="M177" s="25"/>
      <c r="N177" s="25"/>
      <c r="O177" s="25"/>
      <c r="P177" s="25"/>
      <c r="Q177" s="25"/>
      <c r="R177" s="25"/>
      <c r="S177" s="25"/>
      <c r="T177" s="61"/>
      <c r="U177" s="25"/>
      <c r="V177" s="5"/>
    </row>
    <row r="178" spans="1:22" x14ac:dyDescent="0.35">
      <c r="A178" s="2"/>
      <c r="B178" s="4"/>
      <c r="C178" s="4"/>
      <c r="D178" s="4"/>
      <c r="E178" s="4"/>
      <c r="F178" s="4"/>
      <c r="G178" s="4"/>
      <c r="H178" s="4"/>
      <c r="I178" s="4"/>
      <c r="J178" s="4"/>
      <c r="K178" s="4"/>
      <c r="L178" s="4"/>
      <c r="M178" s="4"/>
      <c r="N178" s="4"/>
      <c r="O178" s="4"/>
      <c r="P178" s="4"/>
      <c r="Q178" s="4"/>
      <c r="R178" s="4"/>
      <c r="S178" s="4"/>
      <c r="T178" s="50"/>
      <c r="U178" s="4"/>
      <c r="V178" s="5"/>
    </row>
    <row r="179" spans="1:22" x14ac:dyDescent="0.35">
      <c r="A179" s="6"/>
      <c r="B179" s="119" t="s">
        <v>61</v>
      </c>
      <c r="C179" s="117"/>
      <c r="D179" s="117"/>
      <c r="E179" s="117"/>
      <c r="F179" s="117"/>
      <c r="G179" s="117"/>
      <c r="H179" s="120"/>
      <c r="I179" s="120"/>
      <c r="J179" s="120"/>
      <c r="K179" s="120"/>
      <c r="L179" s="120"/>
      <c r="M179" s="120"/>
      <c r="N179" s="120"/>
      <c r="O179" s="120"/>
      <c r="P179" s="120"/>
      <c r="Q179" s="120" t="s">
        <v>105</v>
      </c>
      <c r="R179" s="120" t="s">
        <v>187</v>
      </c>
      <c r="S179" s="111"/>
      <c r="T179" s="121" t="s">
        <v>121</v>
      </c>
      <c r="U179" s="10"/>
      <c r="V179" s="5"/>
    </row>
    <row r="180" spans="1:22" x14ac:dyDescent="0.35">
      <c r="A180" s="24"/>
      <c r="B180" s="25" t="s">
        <v>62</v>
      </c>
      <c r="C180" s="25"/>
      <c r="D180" s="25"/>
      <c r="E180" s="25"/>
      <c r="F180" s="25"/>
      <c r="G180" s="25"/>
      <c r="H180" s="25"/>
      <c r="I180" s="25"/>
      <c r="J180" s="25"/>
      <c r="K180" s="25"/>
      <c r="L180" s="25"/>
      <c r="M180" s="25"/>
      <c r="N180" s="25"/>
      <c r="O180" s="25"/>
      <c r="P180" s="25"/>
      <c r="Q180" s="53">
        <f>+T34*0.16</f>
        <v>160056.48000000001</v>
      </c>
      <c r="R180" s="40"/>
      <c r="S180" s="25"/>
      <c r="T180" s="53"/>
      <c r="U180" s="25"/>
      <c r="V180" s="5"/>
    </row>
    <row r="181" spans="1:22" x14ac:dyDescent="0.35">
      <c r="A181" s="24"/>
      <c r="B181" s="25" t="s">
        <v>63</v>
      </c>
      <c r="C181" s="25"/>
      <c r="D181" s="25"/>
      <c r="E181" s="25"/>
      <c r="F181" s="25"/>
      <c r="G181" s="25"/>
      <c r="H181" s="25"/>
      <c r="I181" s="25"/>
      <c r="J181" s="25"/>
      <c r="K181" s="25"/>
      <c r="L181" s="25"/>
      <c r="M181" s="25"/>
      <c r="N181" s="25"/>
      <c r="O181" s="25"/>
      <c r="P181" s="25"/>
      <c r="Q181" s="53">
        <f>+'Aug 09'!Q182</f>
        <v>42153</v>
      </c>
      <c r="R181" s="53">
        <f>+'Aug 09'!R182</f>
        <v>5971</v>
      </c>
      <c r="S181" s="25"/>
      <c r="T181" s="53">
        <f>Q181+R181</f>
        <v>48124</v>
      </c>
      <c r="U181" s="25"/>
      <c r="V181" s="5"/>
    </row>
    <row r="182" spans="1:22" x14ac:dyDescent="0.35">
      <c r="A182" s="24"/>
      <c r="B182" s="25" t="s">
        <v>64</v>
      </c>
      <c r="C182" s="25"/>
      <c r="D182" s="25"/>
      <c r="E182" s="25"/>
      <c r="F182" s="25"/>
      <c r="G182" s="25"/>
      <c r="H182" s="25"/>
      <c r="I182" s="25"/>
      <c r="J182" s="25"/>
      <c r="K182" s="25"/>
      <c r="L182" s="25"/>
      <c r="M182" s="25"/>
      <c r="N182" s="25"/>
      <c r="O182" s="25"/>
      <c r="P182" s="25"/>
      <c r="Q182" s="34">
        <v>28</v>
      </c>
      <c r="R182" s="34">
        <v>0</v>
      </c>
      <c r="S182" s="25"/>
      <c r="T182" s="53">
        <f>Q182+R182</f>
        <v>28</v>
      </c>
      <c r="U182" s="25"/>
      <c r="V182" s="5"/>
    </row>
    <row r="183" spans="1:22" x14ac:dyDescent="0.35">
      <c r="A183" s="24"/>
      <c r="B183" s="25" t="s">
        <v>65</v>
      </c>
      <c r="C183" s="25"/>
      <c r="D183" s="25"/>
      <c r="E183" s="25"/>
      <c r="F183" s="25"/>
      <c r="G183" s="25"/>
      <c r="H183" s="25"/>
      <c r="I183" s="25"/>
      <c r="J183" s="25"/>
      <c r="K183" s="25"/>
      <c r="L183" s="25"/>
      <c r="M183" s="25"/>
      <c r="N183" s="25"/>
      <c r="O183" s="25"/>
      <c r="P183" s="25"/>
      <c r="Q183" s="53">
        <f>Q181+Q182</f>
        <v>42181</v>
      </c>
      <c r="R183" s="53">
        <f>R182+R181</f>
        <v>5971</v>
      </c>
      <c r="S183" s="25"/>
      <c r="T183" s="53">
        <f>Q183+R183</f>
        <v>48152</v>
      </c>
      <c r="U183" s="25"/>
      <c r="V183" s="5"/>
    </row>
    <row r="184" spans="1:22" x14ac:dyDescent="0.35">
      <c r="A184" s="24"/>
      <c r="B184" s="25" t="s">
        <v>66</v>
      </c>
      <c r="C184" s="25"/>
      <c r="D184" s="25"/>
      <c r="E184" s="25"/>
      <c r="F184" s="25"/>
      <c r="G184" s="25"/>
      <c r="H184" s="25"/>
      <c r="I184" s="25"/>
      <c r="J184" s="25"/>
      <c r="K184" s="25"/>
      <c r="L184" s="25"/>
      <c r="M184" s="25"/>
      <c r="N184" s="25"/>
      <c r="O184" s="25"/>
      <c r="P184" s="25"/>
      <c r="Q184" s="53">
        <f>Q180-Q183-R183</f>
        <v>111904.48000000001</v>
      </c>
      <c r="R184" s="40"/>
      <c r="S184" s="25"/>
      <c r="T184" s="53"/>
      <c r="U184" s="25"/>
      <c r="V184" s="5"/>
    </row>
    <row r="185" spans="1:22" ht="16" thickBot="1" x14ac:dyDescent="0.4">
      <c r="A185" s="24"/>
      <c r="B185" s="25"/>
      <c r="C185" s="25"/>
      <c r="D185" s="25"/>
      <c r="E185" s="25"/>
      <c r="F185" s="25"/>
      <c r="G185" s="25"/>
      <c r="H185" s="25"/>
      <c r="I185" s="25"/>
      <c r="J185" s="25"/>
      <c r="K185" s="25"/>
      <c r="L185" s="25"/>
      <c r="M185" s="25"/>
      <c r="N185" s="25"/>
      <c r="O185" s="25"/>
      <c r="P185" s="25"/>
      <c r="Q185" s="25"/>
      <c r="R185" s="25"/>
      <c r="S185" s="25"/>
      <c r="T185" s="61"/>
      <c r="U185" s="25"/>
      <c r="V185" s="5"/>
    </row>
    <row r="186" spans="1:22" x14ac:dyDescent="0.35">
      <c r="A186" s="2"/>
      <c r="B186" s="4"/>
      <c r="C186" s="4"/>
      <c r="D186" s="4"/>
      <c r="E186" s="4"/>
      <c r="F186" s="4"/>
      <c r="G186" s="4"/>
      <c r="H186" s="4"/>
      <c r="I186" s="4"/>
      <c r="J186" s="4"/>
      <c r="K186" s="4"/>
      <c r="L186" s="4"/>
      <c r="M186" s="4"/>
      <c r="N186" s="4"/>
      <c r="O186" s="4"/>
      <c r="P186" s="4"/>
      <c r="Q186" s="4"/>
      <c r="R186" s="4"/>
      <c r="S186" s="4"/>
      <c r="T186" s="50"/>
      <c r="U186" s="4"/>
      <c r="V186" s="5"/>
    </row>
    <row r="187" spans="1:22" x14ac:dyDescent="0.35">
      <c r="A187" s="6"/>
      <c r="B187" s="119" t="s">
        <v>67</v>
      </c>
      <c r="C187" s="8"/>
      <c r="D187" s="8"/>
      <c r="E187" s="8"/>
      <c r="F187" s="8"/>
      <c r="G187" s="8"/>
      <c r="H187" s="8"/>
      <c r="I187" s="8"/>
      <c r="J187" s="8"/>
      <c r="K187" s="8"/>
      <c r="L187" s="8"/>
      <c r="M187" s="8"/>
      <c r="N187" s="8"/>
      <c r="O187" s="8"/>
      <c r="P187" s="8"/>
      <c r="Q187" s="8"/>
      <c r="R187" s="8"/>
      <c r="S187" s="8"/>
      <c r="T187" s="65"/>
      <c r="U187" s="8"/>
      <c r="V187" s="5"/>
    </row>
    <row r="188" spans="1:22" x14ac:dyDescent="0.35">
      <c r="A188" s="24"/>
      <c r="B188" s="25" t="s">
        <v>68</v>
      </c>
      <c r="C188" s="25"/>
      <c r="D188" s="25"/>
      <c r="E188" s="25"/>
      <c r="F188" s="25"/>
      <c r="G188" s="25"/>
      <c r="H188" s="25"/>
      <c r="I188" s="25"/>
      <c r="J188" s="25"/>
      <c r="K188" s="25"/>
      <c r="L188" s="25"/>
      <c r="M188" s="25"/>
      <c r="N188" s="25"/>
      <c r="O188" s="25"/>
      <c r="P188" s="25"/>
      <c r="Q188" s="25"/>
      <c r="R188" s="25"/>
      <c r="S188" s="25"/>
      <c r="T188" s="59">
        <f>(T101+T103+T104+T105+T106+T107)/-(T108+T109)</f>
        <v>2.9772727272727271</v>
      </c>
      <c r="U188" s="25" t="s">
        <v>122</v>
      </c>
      <c r="V188" s="5"/>
    </row>
    <row r="189" spans="1:22" x14ac:dyDescent="0.35">
      <c r="A189" s="24"/>
      <c r="B189" s="25" t="s">
        <v>69</v>
      </c>
      <c r="C189" s="25"/>
      <c r="D189" s="25"/>
      <c r="E189" s="25"/>
      <c r="F189" s="25"/>
      <c r="G189" s="25"/>
      <c r="H189" s="25"/>
      <c r="I189" s="25"/>
      <c r="J189" s="25"/>
      <c r="K189" s="25"/>
      <c r="L189" s="25"/>
      <c r="M189" s="25"/>
      <c r="N189" s="25"/>
      <c r="O189" s="25"/>
      <c r="P189" s="25"/>
      <c r="Q189" s="25"/>
      <c r="R189" s="25"/>
      <c r="S189" s="25"/>
      <c r="T189" s="66">
        <v>1.47</v>
      </c>
      <c r="U189" s="25" t="s">
        <v>122</v>
      </c>
      <c r="V189" s="5"/>
    </row>
    <row r="190" spans="1:22" x14ac:dyDescent="0.35">
      <c r="A190" s="24"/>
      <c r="B190" s="25" t="s">
        <v>70</v>
      </c>
      <c r="C190" s="25"/>
      <c r="D190" s="25"/>
      <c r="E190" s="25"/>
      <c r="F190" s="25"/>
      <c r="G190" s="25"/>
      <c r="H190" s="25"/>
      <c r="I190" s="25"/>
      <c r="J190" s="25"/>
      <c r="K190" s="25"/>
      <c r="L190" s="25"/>
      <c r="M190" s="25"/>
      <c r="N190" s="25"/>
      <c r="O190" s="25"/>
      <c r="P190" s="25"/>
      <c r="Q190" s="25"/>
      <c r="R190" s="25"/>
      <c r="S190" s="25"/>
      <c r="T190" s="59">
        <f>(T101+T103+T104+T105+T106+T107+T108+T109)/-(T110+T111)</f>
        <v>15.091836734693878</v>
      </c>
      <c r="U190" s="25" t="s">
        <v>122</v>
      </c>
      <c r="V190" s="5"/>
    </row>
    <row r="191" spans="1:22" x14ac:dyDescent="0.35">
      <c r="A191" s="24"/>
      <c r="B191" s="25" t="s">
        <v>71</v>
      </c>
      <c r="C191" s="25"/>
      <c r="D191" s="25"/>
      <c r="E191" s="25"/>
      <c r="F191" s="25"/>
      <c r="G191" s="25"/>
      <c r="H191" s="25"/>
      <c r="I191" s="25"/>
      <c r="J191" s="25"/>
      <c r="K191" s="25"/>
      <c r="L191" s="25"/>
      <c r="M191" s="25"/>
      <c r="N191" s="25"/>
      <c r="O191" s="25"/>
      <c r="P191" s="25"/>
      <c r="Q191" s="25"/>
      <c r="R191" s="25"/>
      <c r="S191" s="25"/>
      <c r="T191" s="66">
        <v>6.95</v>
      </c>
      <c r="U191" s="25" t="s">
        <v>122</v>
      </c>
      <c r="V191" s="5"/>
    </row>
    <row r="192" spans="1:22" x14ac:dyDescent="0.35">
      <c r="A192" s="24"/>
      <c r="B192" s="25" t="s">
        <v>232</v>
      </c>
      <c r="C192" s="25"/>
      <c r="D192" s="25"/>
      <c r="E192" s="25"/>
      <c r="F192" s="25"/>
      <c r="G192" s="25"/>
      <c r="H192" s="25"/>
      <c r="I192" s="25"/>
      <c r="J192" s="25"/>
      <c r="K192" s="25"/>
      <c r="L192" s="25"/>
      <c r="M192" s="25"/>
      <c r="N192" s="25"/>
      <c r="O192" s="25"/>
      <c r="P192" s="25"/>
      <c r="Q192" s="25"/>
      <c r="R192" s="25"/>
      <c r="S192" s="25"/>
      <c r="T192" s="59">
        <f>(T101+T103+T104+T105+T106+T107+T108+T109+T110+T111)/-(T112+T113)</f>
        <v>6.7038834951456314</v>
      </c>
      <c r="U192" s="25" t="s">
        <v>122</v>
      </c>
      <c r="V192" s="5"/>
    </row>
    <row r="193" spans="1:22" x14ac:dyDescent="0.35">
      <c r="A193" s="24"/>
      <c r="B193" s="25" t="s">
        <v>233</v>
      </c>
      <c r="C193" s="25"/>
      <c r="D193" s="25"/>
      <c r="E193" s="25"/>
      <c r="F193" s="25"/>
      <c r="G193" s="25"/>
      <c r="H193" s="25"/>
      <c r="I193" s="25"/>
      <c r="J193" s="25"/>
      <c r="K193" s="25"/>
      <c r="L193" s="25"/>
      <c r="M193" s="25"/>
      <c r="N193" s="25"/>
      <c r="O193" s="25"/>
      <c r="P193" s="25"/>
      <c r="Q193" s="25"/>
      <c r="R193" s="25"/>
      <c r="S193" s="25"/>
      <c r="T193" s="66">
        <v>3.54</v>
      </c>
      <c r="U193" s="25" t="s">
        <v>122</v>
      </c>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24"/>
      <c r="B195" s="25"/>
      <c r="C195" s="25"/>
      <c r="D195" s="25"/>
      <c r="E195" s="25"/>
      <c r="F195" s="25"/>
      <c r="G195" s="25"/>
      <c r="H195" s="25"/>
      <c r="I195" s="25"/>
      <c r="J195" s="25"/>
      <c r="K195" s="25"/>
      <c r="L195" s="25"/>
      <c r="M195" s="25"/>
      <c r="N195" s="25"/>
      <c r="O195" s="25"/>
      <c r="P195" s="25"/>
      <c r="Q195" s="25"/>
      <c r="R195" s="25"/>
      <c r="S195" s="25"/>
      <c r="T195" s="25"/>
      <c r="U195" s="25"/>
      <c r="V195" s="5"/>
    </row>
    <row r="196" spans="1:22" x14ac:dyDescent="0.35">
      <c r="A196" s="6"/>
      <c r="B196" s="8"/>
      <c r="C196" s="8"/>
      <c r="D196" s="8"/>
      <c r="E196" s="8"/>
      <c r="F196" s="8"/>
      <c r="G196" s="8"/>
      <c r="H196" s="8"/>
      <c r="I196" s="8"/>
      <c r="J196" s="8"/>
      <c r="K196" s="8"/>
      <c r="L196" s="8"/>
      <c r="M196" s="8"/>
      <c r="N196" s="8"/>
      <c r="O196" s="8"/>
      <c r="P196" s="8"/>
      <c r="Q196" s="8"/>
      <c r="R196" s="8"/>
      <c r="S196" s="8"/>
      <c r="T196" s="8"/>
      <c r="U196" s="8"/>
      <c r="V196" s="5"/>
    </row>
    <row r="197" spans="1:22" ht="18" thickBot="1" x14ac:dyDescent="0.4">
      <c r="A197" s="101"/>
      <c r="B197" s="102" t="str">
        <f>B136</f>
        <v>PM10 INVESTOR REPORT QUARTER ENDING NOVEMBER 2009</v>
      </c>
      <c r="C197" s="166"/>
      <c r="D197" s="166"/>
      <c r="E197" s="166"/>
      <c r="F197" s="166"/>
      <c r="G197" s="166"/>
      <c r="H197" s="166"/>
      <c r="I197" s="166"/>
      <c r="J197" s="166"/>
      <c r="K197" s="166"/>
      <c r="L197" s="166"/>
      <c r="M197" s="166"/>
      <c r="N197" s="166"/>
      <c r="O197" s="166"/>
      <c r="P197" s="166"/>
      <c r="Q197" s="166"/>
      <c r="R197" s="166"/>
      <c r="S197" s="166"/>
      <c r="T197" s="166"/>
      <c r="U197" s="167"/>
      <c r="V197" s="5"/>
    </row>
    <row r="198" spans="1:22" x14ac:dyDescent="0.35">
      <c r="A198" s="67"/>
      <c r="B198" s="60" t="s">
        <v>72</v>
      </c>
      <c r="C198" s="68"/>
      <c r="D198" s="68"/>
      <c r="E198" s="68"/>
      <c r="F198" s="68"/>
      <c r="G198" s="69"/>
      <c r="H198" s="69"/>
      <c r="I198" s="69"/>
      <c r="J198" s="69"/>
      <c r="K198" s="69"/>
      <c r="L198" s="69"/>
      <c r="M198" s="69"/>
      <c r="N198" s="69"/>
      <c r="O198" s="69"/>
      <c r="P198" s="69"/>
      <c r="Q198" s="69"/>
      <c r="R198" s="70">
        <v>40147</v>
      </c>
      <c r="S198" s="4"/>
      <c r="T198" s="4"/>
      <c r="U198" s="4"/>
      <c r="V198" s="5"/>
    </row>
    <row r="199" spans="1:22" x14ac:dyDescent="0.35">
      <c r="A199" s="71"/>
      <c r="B199" s="72"/>
      <c r="C199" s="73"/>
      <c r="D199" s="73"/>
      <c r="E199" s="73"/>
      <c r="F199" s="73"/>
      <c r="G199" s="74"/>
      <c r="H199" s="74"/>
      <c r="I199" s="74"/>
      <c r="J199" s="74"/>
      <c r="K199" s="74"/>
      <c r="L199" s="74"/>
      <c r="M199" s="74"/>
      <c r="N199" s="74"/>
      <c r="O199" s="74"/>
      <c r="P199" s="74"/>
      <c r="Q199" s="74"/>
      <c r="R199" s="74"/>
      <c r="S199" s="8"/>
      <c r="T199" s="8"/>
      <c r="U199" s="8"/>
      <c r="V199" s="5"/>
    </row>
    <row r="200" spans="1:22" x14ac:dyDescent="0.35">
      <c r="A200" s="75"/>
      <c r="B200" s="76" t="s">
        <v>73</v>
      </c>
      <c r="C200" s="77"/>
      <c r="D200" s="77"/>
      <c r="E200" s="77"/>
      <c r="F200" s="77"/>
      <c r="G200" s="64"/>
      <c r="H200" s="64"/>
      <c r="I200" s="64"/>
      <c r="J200" s="64"/>
      <c r="K200" s="64"/>
      <c r="L200" s="64"/>
      <c r="M200" s="64"/>
      <c r="N200" s="64"/>
      <c r="O200" s="64"/>
      <c r="P200" s="64"/>
      <c r="Q200" s="64"/>
      <c r="R200" s="78">
        <v>5.3960000000000001E-2</v>
      </c>
      <c r="S200" s="25"/>
      <c r="T200" s="25"/>
      <c r="U200" s="25"/>
      <c r="V200" s="5"/>
    </row>
    <row r="201" spans="1:22" x14ac:dyDescent="0.35">
      <c r="A201" s="75"/>
      <c r="B201" s="76" t="s">
        <v>159</v>
      </c>
      <c r="C201" s="77"/>
      <c r="D201" s="77"/>
      <c r="E201" s="77"/>
      <c r="F201" s="77"/>
      <c r="G201" s="64"/>
      <c r="H201" s="64"/>
      <c r="I201" s="64"/>
      <c r="J201" s="64"/>
      <c r="K201" s="64"/>
      <c r="L201" s="64"/>
      <c r="M201" s="64"/>
      <c r="N201" s="64"/>
      <c r="O201" s="64"/>
      <c r="P201" s="64"/>
      <c r="Q201" s="64"/>
      <c r="R201" s="39">
        <v>4.7399999999999998E-2</v>
      </c>
      <c r="S201" s="25"/>
      <c r="T201" s="25"/>
      <c r="U201" s="25"/>
      <c r="V201" s="5"/>
    </row>
    <row r="202" spans="1:22" x14ac:dyDescent="0.35">
      <c r="A202" s="75"/>
      <c r="B202" s="76" t="s">
        <v>74</v>
      </c>
      <c r="C202" s="77"/>
      <c r="D202" s="77"/>
      <c r="E202" s="77"/>
      <c r="F202" s="77"/>
      <c r="G202" s="64"/>
      <c r="H202" s="64"/>
      <c r="I202" s="64"/>
      <c r="J202" s="64"/>
      <c r="K202" s="64"/>
      <c r="L202" s="64"/>
      <c r="M202" s="64"/>
      <c r="N202" s="64"/>
      <c r="O202" s="64"/>
      <c r="P202" s="64"/>
      <c r="Q202" s="64"/>
      <c r="R202" s="78">
        <f>R200-R201</f>
        <v>6.5600000000000033E-3</v>
      </c>
      <c r="S202" s="25"/>
      <c r="T202" s="25"/>
      <c r="U202" s="25"/>
      <c r="V202" s="5"/>
    </row>
    <row r="203" spans="1:22" x14ac:dyDescent="0.35">
      <c r="A203" s="75"/>
      <c r="B203" s="76" t="s">
        <v>75</v>
      </c>
      <c r="C203" s="77"/>
      <c r="D203" s="77"/>
      <c r="E203" s="77"/>
      <c r="F203" s="77"/>
      <c r="G203" s="64"/>
      <c r="H203" s="64"/>
      <c r="I203" s="64"/>
      <c r="J203" s="64"/>
      <c r="K203" s="64"/>
      <c r="L203" s="64"/>
      <c r="M203" s="64"/>
      <c r="N203" s="64"/>
      <c r="O203" s="64"/>
      <c r="P203" s="64"/>
      <c r="Q203" s="64"/>
      <c r="R203" s="78">
        <v>3.039E-2</v>
      </c>
      <c r="S203" s="25"/>
      <c r="T203" s="25"/>
      <c r="U203" s="25"/>
      <c r="V203" s="5"/>
    </row>
    <row r="204" spans="1:22" x14ac:dyDescent="0.35">
      <c r="A204" s="75"/>
      <c r="B204" s="76" t="s">
        <v>262</v>
      </c>
      <c r="C204" s="77"/>
      <c r="D204" s="77"/>
      <c r="E204" s="77"/>
      <c r="F204" s="77"/>
      <c r="G204" s="64"/>
      <c r="H204" s="64"/>
      <c r="I204" s="64"/>
      <c r="J204" s="64"/>
      <c r="K204" s="64"/>
      <c r="L204" s="64"/>
      <c r="M204" s="64"/>
      <c r="N204" s="64"/>
      <c r="O204" s="64"/>
      <c r="P204" s="64"/>
      <c r="Q204" s="64"/>
      <c r="R204" s="78">
        <f>T43</f>
        <v>8.318742813106194E-3</v>
      </c>
      <c r="S204" s="25"/>
      <c r="T204" s="25"/>
      <c r="U204" s="25"/>
      <c r="V204" s="5"/>
    </row>
    <row r="205" spans="1:22" x14ac:dyDescent="0.35">
      <c r="A205" s="75"/>
      <c r="B205" s="76" t="s">
        <v>76</v>
      </c>
      <c r="C205" s="77"/>
      <c r="D205" s="77"/>
      <c r="E205" s="77"/>
      <c r="F205" s="77"/>
      <c r="G205" s="64"/>
      <c r="H205" s="64"/>
      <c r="I205" s="64"/>
      <c r="J205" s="64"/>
      <c r="K205" s="64"/>
      <c r="L205" s="64"/>
      <c r="M205" s="64"/>
      <c r="N205" s="64"/>
      <c r="O205" s="64"/>
      <c r="P205" s="64"/>
      <c r="Q205" s="64"/>
      <c r="R205" s="78">
        <f>R203-R204</f>
        <v>2.2071257186893806E-2</v>
      </c>
      <c r="S205" s="25"/>
      <c r="T205" s="25"/>
      <c r="U205" s="25"/>
      <c r="V205" s="5"/>
    </row>
    <row r="206" spans="1:22" x14ac:dyDescent="0.35">
      <c r="A206" s="75"/>
      <c r="B206" s="76" t="s">
        <v>269</v>
      </c>
      <c r="C206" s="77"/>
      <c r="D206" s="77"/>
      <c r="E206" s="77"/>
      <c r="F206" s="77"/>
      <c r="G206" s="64"/>
      <c r="H206" s="64"/>
      <c r="I206" s="64"/>
      <c r="J206" s="64"/>
      <c r="K206" s="64"/>
      <c r="L206" s="64"/>
      <c r="M206" s="64"/>
      <c r="N206" s="64"/>
      <c r="O206" s="64"/>
      <c r="P206" s="64"/>
      <c r="Q206" s="64"/>
      <c r="R206" s="78">
        <f>+T101/L69</f>
        <v>7.6898050930170655E-3</v>
      </c>
      <c r="S206" s="25"/>
      <c r="T206" s="25"/>
      <c r="U206" s="25"/>
      <c r="V206" s="5"/>
    </row>
    <row r="207" spans="1:22" x14ac:dyDescent="0.35">
      <c r="A207" s="75"/>
      <c r="B207" s="76" t="s">
        <v>251</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252</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253</v>
      </c>
      <c r="C209" s="77"/>
      <c r="D209" s="77"/>
      <c r="E209" s="77"/>
      <c r="F209" s="77"/>
      <c r="G209" s="64"/>
      <c r="H209" s="64"/>
      <c r="I209" s="64"/>
      <c r="J209" s="64"/>
      <c r="K209" s="64"/>
      <c r="L209" s="64"/>
      <c r="M209" s="64"/>
      <c r="N209" s="64"/>
      <c r="O209" s="64"/>
      <c r="P209" s="64"/>
      <c r="Q209" s="64"/>
      <c r="R209" s="130">
        <v>51653</v>
      </c>
      <c r="S209" s="25"/>
      <c r="T209" s="25"/>
      <c r="U209" s="25"/>
      <c r="V209" s="5"/>
    </row>
    <row r="210" spans="1:22" x14ac:dyDescent="0.35">
      <c r="A210" s="75"/>
      <c r="B210" s="76" t="s">
        <v>77</v>
      </c>
      <c r="C210" s="77"/>
      <c r="D210" s="77"/>
      <c r="E210" s="77"/>
      <c r="F210" s="77"/>
      <c r="G210" s="64"/>
      <c r="H210" s="64"/>
      <c r="I210" s="64"/>
      <c r="J210" s="64"/>
      <c r="K210" s="64"/>
      <c r="L210" s="64"/>
      <c r="M210" s="64"/>
      <c r="N210" s="64"/>
      <c r="O210" s="64"/>
      <c r="P210" s="64"/>
      <c r="Q210" s="64"/>
      <c r="R210" s="134">
        <v>21.48</v>
      </c>
      <c r="S210" s="25" t="s">
        <v>117</v>
      </c>
      <c r="T210" s="25"/>
      <c r="U210" s="25"/>
      <c r="V210" s="5"/>
    </row>
    <row r="211" spans="1:22" x14ac:dyDescent="0.35">
      <c r="A211" s="75"/>
      <c r="B211" s="76" t="s">
        <v>78</v>
      </c>
      <c r="C211" s="77"/>
      <c r="D211" s="77"/>
      <c r="E211" s="77"/>
      <c r="F211" s="77"/>
      <c r="G211" s="64"/>
      <c r="H211" s="64"/>
      <c r="I211" s="64"/>
      <c r="J211" s="64"/>
      <c r="K211" s="64"/>
      <c r="L211" s="64"/>
      <c r="M211" s="64"/>
      <c r="N211" s="64"/>
      <c r="O211" s="64"/>
      <c r="P211" s="64"/>
      <c r="Q211" s="64"/>
      <c r="R211" s="134">
        <v>17.63</v>
      </c>
      <c r="S211" s="25" t="s">
        <v>117</v>
      </c>
      <c r="T211" s="25"/>
      <c r="U211" s="25"/>
      <c r="V211" s="5"/>
    </row>
    <row r="212" spans="1:22" x14ac:dyDescent="0.35">
      <c r="A212" s="75"/>
      <c r="B212" s="76" t="s">
        <v>79</v>
      </c>
      <c r="C212" s="77"/>
      <c r="D212" s="77"/>
      <c r="E212" s="77"/>
      <c r="F212" s="77"/>
      <c r="G212" s="64"/>
      <c r="H212" s="64"/>
      <c r="I212" s="64"/>
      <c r="J212" s="64"/>
      <c r="K212" s="64"/>
      <c r="L212" s="64"/>
      <c r="M212" s="64"/>
      <c r="N212" s="64"/>
      <c r="O212" s="64"/>
      <c r="P212" s="64"/>
      <c r="Q212" s="64"/>
      <c r="R212" s="78">
        <f>+N69/L69</f>
        <v>7.3506649709660565E-3</v>
      </c>
      <c r="S212" s="25"/>
      <c r="T212" s="25"/>
      <c r="U212" s="25"/>
      <c r="V212" s="5"/>
    </row>
    <row r="213" spans="1:22" x14ac:dyDescent="0.35">
      <c r="A213" s="75"/>
      <c r="B213" s="76" t="s">
        <v>80</v>
      </c>
      <c r="C213" s="77"/>
      <c r="D213" s="77"/>
      <c r="E213" s="77"/>
      <c r="F213" s="77"/>
      <c r="G213" s="64"/>
      <c r="H213" s="64"/>
      <c r="I213" s="64"/>
      <c r="J213" s="64"/>
      <c r="K213" s="64"/>
      <c r="L213" s="64"/>
      <c r="M213" s="64"/>
      <c r="N213" s="64"/>
      <c r="O213" s="64"/>
      <c r="P213" s="64"/>
      <c r="Q213" s="64"/>
      <c r="R213" s="78">
        <v>0.1673</v>
      </c>
      <c r="S213" s="25"/>
      <c r="T213" s="25"/>
      <c r="U213" s="25"/>
      <c r="V213" s="5"/>
    </row>
    <row r="214" spans="1:22" x14ac:dyDescent="0.35">
      <c r="A214" s="75"/>
      <c r="B214" s="76"/>
      <c r="C214" s="76"/>
      <c r="D214" s="76"/>
      <c r="E214" s="76"/>
      <c r="F214" s="76"/>
      <c r="G214" s="25"/>
      <c r="H214" s="25"/>
      <c r="I214" s="25"/>
      <c r="J214" s="25"/>
      <c r="K214" s="25"/>
      <c r="L214" s="25"/>
      <c r="M214" s="25"/>
      <c r="N214" s="25"/>
      <c r="O214" s="25"/>
      <c r="P214" s="25"/>
      <c r="Q214" s="25"/>
      <c r="R214" s="61"/>
      <c r="S214" s="25"/>
      <c r="T214" s="79"/>
      <c r="U214" s="25"/>
      <c r="V214" s="5"/>
    </row>
    <row r="215" spans="1:22" x14ac:dyDescent="0.35">
      <c r="A215" s="80"/>
      <c r="B215" s="14" t="s">
        <v>81</v>
      </c>
      <c r="C215" s="81"/>
      <c r="D215" s="81"/>
      <c r="E215" s="81"/>
      <c r="F215" s="82"/>
      <c r="G215" s="81"/>
      <c r="H215" s="17"/>
      <c r="I215" s="17"/>
      <c r="J215" s="17"/>
      <c r="K215" s="17"/>
      <c r="L215" s="17"/>
      <c r="M215" s="17"/>
      <c r="N215" s="17"/>
      <c r="O215" s="17"/>
      <c r="P215" s="17"/>
      <c r="Q215" s="17" t="s">
        <v>106</v>
      </c>
      <c r="R215" s="83" t="s">
        <v>113</v>
      </c>
      <c r="S215" s="8"/>
      <c r="T215" s="8"/>
      <c r="U215" s="8"/>
      <c r="V215" s="5"/>
    </row>
    <row r="216" spans="1:22" x14ac:dyDescent="0.35">
      <c r="A216" s="84"/>
      <c r="B216" s="76" t="s">
        <v>82</v>
      </c>
      <c r="C216" s="54"/>
      <c r="D216" s="54"/>
      <c r="E216" s="54"/>
      <c r="F216" s="25"/>
      <c r="G216" s="25"/>
      <c r="H216" s="30"/>
      <c r="I216" s="30"/>
      <c r="J216" s="30"/>
      <c r="K216" s="30"/>
      <c r="L216" s="30"/>
      <c r="M216" s="30"/>
      <c r="N216" s="30"/>
      <c r="O216" s="30"/>
      <c r="P216" s="30"/>
      <c r="Q216" s="30">
        <v>0</v>
      </c>
      <c r="R216" s="85">
        <v>0</v>
      </c>
      <c r="S216" s="25"/>
      <c r="T216" s="79"/>
      <c r="U216" s="86"/>
      <c r="V216" s="5"/>
    </row>
    <row r="217" spans="1:22" x14ac:dyDescent="0.35">
      <c r="A217" s="84"/>
      <c r="B217" s="76" t="s">
        <v>152</v>
      </c>
      <c r="C217" s="54"/>
      <c r="D217" s="54"/>
      <c r="E217" s="54"/>
      <c r="F217" s="25"/>
      <c r="G217" s="25"/>
      <c r="H217" s="30"/>
      <c r="I217" s="30"/>
      <c r="J217" s="30"/>
      <c r="K217" s="30"/>
      <c r="L217" s="30"/>
      <c r="M217" s="30"/>
      <c r="N217" s="30"/>
      <c r="O217" s="30"/>
      <c r="P217" s="30"/>
      <c r="Q217" s="153">
        <f>+P257</f>
        <v>165</v>
      </c>
      <c r="R217" s="85">
        <f>+R257</f>
        <v>24584</v>
      </c>
      <c r="S217" s="25"/>
      <c r="T217" s="79"/>
      <c r="U217" s="86"/>
      <c r="V217" s="5"/>
    </row>
    <row r="218" spans="1:22" x14ac:dyDescent="0.35">
      <c r="A218" s="84"/>
      <c r="B218" s="76" t="s">
        <v>83</v>
      </c>
      <c r="C218" s="54"/>
      <c r="D218" s="54"/>
      <c r="E218" s="54"/>
      <c r="F218" s="25"/>
      <c r="G218" s="25"/>
      <c r="H218" s="30"/>
      <c r="I218" s="30"/>
      <c r="J218" s="30"/>
      <c r="K218" s="30"/>
      <c r="L218" s="30"/>
      <c r="M218" s="30"/>
      <c r="N218" s="30"/>
      <c r="O218" s="30"/>
      <c r="P218" s="30"/>
      <c r="Q218" s="30">
        <v>0</v>
      </c>
      <c r="R218" s="85">
        <v>0</v>
      </c>
      <c r="S218" s="25"/>
      <c r="T218" s="79"/>
      <c r="U218" s="86"/>
      <c r="V218" s="5"/>
    </row>
    <row r="219" spans="1:22" x14ac:dyDescent="0.35">
      <c r="A219" s="84"/>
      <c r="B219" s="122" t="s">
        <v>84</v>
      </c>
      <c r="C219" s="54"/>
      <c r="D219" s="54"/>
      <c r="E219" s="54"/>
      <c r="F219" s="25"/>
      <c r="G219" s="25"/>
      <c r="H219" s="25"/>
      <c r="I219" s="25"/>
      <c r="J219" s="25"/>
      <c r="K219" s="25"/>
      <c r="L219" s="25"/>
      <c r="M219" s="25"/>
      <c r="N219" s="25"/>
      <c r="O219" s="25"/>
      <c r="P219" s="25"/>
      <c r="Q219" s="25"/>
      <c r="R219" s="85">
        <v>0</v>
      </c>
      <c r="S219" s="25"/>
      <c r="T219" s="79"/>
      <c r="U219" s="86"/>
      <c r="V219" s="5"/>
    </row>
    <row r="220" spans="1:22" x14ac:dyDescent="0.35">
      <c r="A220" s="84"/>
      <c r="B220" s="122" t="s">
        <v>85</v>
      </c>
      <c r="C220" s="54"/>
      <c r="D220" s="54"/>
      <c r="E220" s="54"/>
      <c r="F220" s="25"/>
      <c r="G220" s="25"/>
      <c r="H220" s="25"/>
      <c r="I220" s="25"/>
      <c r="J220" s="25"/>
      <c r="K220" s="25"/>
      <c r="L220" s="25"/>
      <c r="M220" s="25"/>
      <c r="N220" s="25"/>
      <c r="O220" s="25"/>
      <c r="P220" s="25"/>
      <c r="Q220" s="25"/>
      <c r="R220" s="62" t="s">
        <v>114</v>
      </c>
      <c r="S220" s="25"/>
      <c r="T220" s="79"/>
      <c r="U220" s="86"/>
      <c r="V220" s="5"/>
    </row>
    <row r="221" spans="1:22" x14ac:dyDescent="0.35">
      <c r="A221" s="87"/>
      <c r="B221" s="122" t="s">
        <v>86</v>
      </c>
      <c r="C221" s="76"/>
      <c r="D221" s="76"/>
      <c r="E221" s="76"/>
      <c r="F221" s="76"/>
      <c r="G221" s="25"/>
      <c r="H221" s="25"/>
      <c r="I221" s="25"/>
      <c r="J221" s="25"/>
      <c r="K221" s="25"/>
      <c r="L221" s="25"/>
      <c r="M221" s="25"/>
      <c r="N221" s="25"/>
      <c r="O221" s="25"/>
      <c r="P221" s="25"/>
      <c r="Q221" s="25"/>
      <c r="R221" s="85"/>
      <c r="S221" s="25"/>
      <c r="T221" s="79"/>
      <c r="U221" s="88"/>
      <c r="V221" s="5"/>
    </row>
    <row r="222" spans="1:22" x14ac:dyDescent="0.35">
      <c r="A222" s="87"/>
      <c r="B222" s="132" t="s">
        <v>87</v>
      </c>
      <c r="C222" s="76"/>
      <c r="D222" s="76"/>
      <c r="E222" s="76"/>
      <c r="F222" s="76"/>
      <c r="G222" s="25"/>
      <c r="H222" s="25"/>
      <c r="I222" s="25"/>
      <c r="J222" s="25"/>
      <c r="K222" s="25"/>
      <c r="L222" s="25"/>
      <c r="M222" s="25"/>
      <c r="N222" s="25"/>
      <c r="O222" s="25"/>
      <c r="P222" s="25"/>
      <c r="Q222" s="30"/>
      <c r="R222" s="85">
        <f>+T166</f>
        <v>481</v>
      </c>
      <c r="S222" s="25"/>
      <c r="T222" s="79"/>
      <c r="U222" s="88"/>
      <c r="V222" s="5"/>
    </row>
    <row r="223" spans="1:22" x14ac:dyDescent="0.35">
      <c r="A223" s="84"/>
      <c r="B223" s="76" t="s">
        <v>88</v>
      </c>
      <c r="C223" s="54"/>
      <c r="D223" s="54"/>
      <c r="E223" s="54"/>
      <c r="F223" s="54"/>
      <c r="G223" s="25"/>
      <c r="H223" s="25"/>
      <c r="I223" s="25"/>
      <c r="J223" s="25"/>
      <c r="K223" s="25"/>
      <c r="L223" s="25"/>
      <c r="M223" s="25"/>
      <c r="N223" s="25"/>
      <c r="O223" s="25"/>
      <c r="P223" s="25"/>
      <c r="Q223" s="85"/>
      <c r="R223" s="85">
        <f>'Aug 09'!R222+R222</f>
        <v>2225</v>
      </c>
      <c r="S223" s="25"/>
      <c r="T223" s="79"/>
      <c r="U223" s="88"/>
      <c r="V223" s="5"/>
    </row>
    <row r="224" spans="1:22" x14ac:dyDescent="0.35">
      <c r="A224" s="87"/>
      <c r="B224" s="122" t="s">
        <v>295</v>
      </c>
      <c r="C224" s="76"/>
      <c r="D224" s="76"/>
      <c r="E224" s="76"/>
      <c r="F224" s="76"/>
      <c r="G224" s="25"/>
      <c r="H224" s="25"/>
      <c r="I224" s="25"/>
      <c r="J224" s="25"/>
      <c r="K224" s="25"/>
      <c r="L224" s="25"/>
      <c r="M224" s="25"/>
      <c r="N224" s="25"/>
      <c r="O224" s="25"/>
      <c r="P224" s="25"/>
      <c r="Q224" s="30"/>
      <c r="R224" s="85"/>
      <c r="S224" s="25"/>
      <c r="T224" s="79"/>
      <c r="U224" s="88"/>
      <c r="V224" s="5"/>
    </row>
    <row r="225" spans="1:23" x14ac:dyDescent="0.35">
      <c r="A225" s="87"/>
      <c r="B225" s="76" t="s">
        <v>292</v>
      </c>
      <c r="C225" s="76"/>
      <c r="D225" s="76"/>
      <c r="E225" s="76"/>
      <c r="F225" s="76"/>
      <c r="G225" s="25"/>
      <c r="H225" s="25"/>
      <c r="I225" s="25"/>
      <c r="J225" s="25"/>
      <c r="K225" s="25"/>
      <c r="L225" s="25"/>
      <c r="M225" s="25"/>
      <c r="N225" s="25"/>
      <c r="O225" s="25"/>
      <c r="P225" s="25"/>
      <c r="Q225" s="30">
        <v>0</v>
      </c>
      <c r="R225" s="85">
        <v>0</v>
      </c>
      <c r="S225" s="25"/>
      <c r="T225" s="79"/>
      <c r="U225" s="88"/>
      <c r="V225" s="5"/>
    </row>
    <row r="226" spans="1:23" x14ac:dyDescent="0.35">
      <c r="A226" s="84"/>
      <c r="B226" s="76" t="s">
        <v>90</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76" t="s">
        <v>91</v>
      </c>
      <c r="C227" s="89"/>
      <c r="D227" s="89"/>
      <c r="E227" s="89"/>
      <c r="F227" s="90"/>
      <c r="G227" s="25"/>
      <c r="H227" s="25"/>
      <c r="I227" s="25"/>
      <c r="J227" s="25"/>
      <c r="K227" s="25"/>
      <c r="L227" s="25"/>
      <c r="M227" s="25"/>
      <c r="N227" s="25"/>
      <c r="O227" s="25"/>
      <c r="P227" s="25"/>
      <c r="Q227" s="25"/>
      <c r="R227" s="62">
        <v>0</v>
      </c>
      <c r="S227" s="25"/>
      <c r="T227" s="79"/>
      <c r="U227" s="88"/>
      <c r="V227" s="5"/>
    </row>
    <row r="228" spans="1:23" x14ac:dyDescent="0.35">
      <c r="A228" s="84"/>
      <c r="B228" s="122" t="s">
        <v>260</v>
      </c>
      <c r="C228" s="89"/>
      <c r="D228" s="89"/>
      <c r="E228" s="89"/>
      <c r="F228" s="90"/>
      <c r="G228" s="25"/>
      <c r="H228" s="25"/>
      <c r="I228" s="25"/>
      <c r="J228" s="25"/>
      <c r="K228" s="25"/>
      <c r="L228" s="25"/>
      <c r="M228" s="25"/>
      <c r="N228" s="25"/>
      <c r="O228" s="25"/>
      <c r="P228" s="25"/>
      <c r="Q228" s="25"/>
      <c r="R228" s="91"/>
      <c r="S228" s="25"/>
      <c r="T228" s="79"/>
      <c r="U228" s="88"/>
      <c r="V228" s="5"/>
    </row>
    <row r="229" spans="1:23" x14ac:dyDescent="0.35">
      <c r="A229" s="84"/>
      <c r="B229" s="76" t="s">
        <v>292</v>
      </c>
      <c r="C229" s="89"/>
      <c r="D229" s="89"/>
      <c r="E229" s="89"/>
      <c r="F229" s="90"/>
      <c r="G229" s="25"/>
      <c r="H229" s="25"/>
      <c r="I229" s="25"/>
      <c r="J229" s="25"/>
      <c r="K229" s="25"/>
      <c r="L229" s="25"/>
      <c r="M229" s="25"/>
      <c r="N229" s="25"/>
      <c r="O229" s="25"/>
      <c r="P229" s="25"/>
      <c r="Q229" s="30">
        <v>7</v>
      </c>
      <c r="R229" s="85">
        <v>1255</v>
      </c>
      <c r="S229" s="25"/>
      <c r="T229" s="79"/>
      <c r="U229" s="88"/>
      <c r="V229" s="5"/>
    </row>
    <row r="230" spans="1:23" x14ac:dyDescent="0.35">
      <c r="A230" s="84"/>
      <c r="B230" s="76" t="s">
        <v>261</v>
      </c>
      <c r="C230" s="89"/>
      <c r="D230" s="89"/>
      <c r="E230" s="89"/>
      <c r="F230" s="90"/>
      <c r="G230" s="25"/>
      <c r="H230" s="25"/>
      <c r="I230" s="25"/>
      <c r="J230" s="25"/>
      <c r="K230" s="25"/>
      <c r="L230" s="25"/>
      <c r="M230" s="25"/>
      <c r="N230" s="25"/>
      <c r="O230" s="25"/>
      <c r="P230" s="25"/>
      <c r="Q230" s="25"/>
      <c r="R230" s="62">
        <v>25.08</v>
      </c>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ht="17.5" x14ac:dyDescent="0.35">
      <c r="A233" s="84"/>
      <c r="B233" s="150" t="s">
        <v>178</v>
      </c>
      <c r="C233" s="89"/>
      <c r="D233" s="89"/>
      <c r="E233" s="89"/>
      <c r="F233" s="90"/>
      <c r="G233" s="25"/>
      <c r="H233" s="25"/>
      <c r="I233" s="25"/>
      <c r="J233" s="25"/>
      <c r="K233" s="25"/>
      <c r="L233" s="25"/>
      <c r="M233" s="25"/>
      <c r="N233" s="151" t="s">
        <v>177</v>
      </c>
      <c r="O233" s="25"/>
      <c r="P233" s="25"/>
      <c r="Q233" s="25"/>
      <c r="R233" s="91"/>
      <c r="S233" s="25"/>
      <c r="T233" s="79"/>
      <c r="U233" s="88"/>
      <c r="V233" s="5"/>
    </row>
    <row r="234" spans="1:23" x14ac:dyDescent="0.35">
      <c r="A234" s="84"/>
      <c r="B234" s="76"/>
      <c r="C234" s="89"/>
      <c r="D234" s="89"/>
      <c r="E234" s="89"/>
      <c r="F234" s="90"/>
      <c r="G234" s="25"/>
      <c r="H234" s="25"/>
      <c r="I234" s="25"/>
      <c r="J234" s="25"/>
      <c r="K234" s="25"/>
      <c r="L234" s="25"/>
      <c r="M234" s="25"/>
      <c r="N234" s="25"/>
      <c r="O234" s="25"/>
      <c r="P234" s="25"/>
      <c r="Q234" s="25"/>
      <c r="R234" s="91"/>
      <c r="S234" s="25"/>
      <c r="T234" s="79"/>
      <c r="U234" s="88"/>
      <c r="V234" s="5"/>
    </row>
    <row r="235" spans="1:23" x14ac:dyDescent="0.35">
      <c r="A235" s="6"/>
      <c r="B235" s="14" t="s">
        <v>171</v>
      </c>
      <c r="C235" s="81"/>
      <c r="D235" s="81"/>
      <c r="E235" s="81"/>
      <c r="F235" s="82"/>
      <c r="G235" s="81"/>
      <c r="H235" s="17"/>
      <c r="I235" s="17"/>
      <c r="J235" s="17"/>
      <c r="K235" s="17"/>
      <c r="L235" s="17"/>
      <c r="M235" s="17"/>
      <c r="N235" s="17"/>
      <c r="O235" s="17"/>
      <c r="P235" s="83" t="s">
        <v>106</v>
      </c>
      <c r="Q235" s="17" t="s">
        <v>107</v>
      </c>
      <c r="R235" s="83" t="s">
        <v>115</v>
      </c>
      <c r="S235" s="17" t="s">
        <v>107</v>
      </c>
      <c r="T235" s="8"/>
      <c r="U235" s="92"/>
      <c r="V235" s="5"/>
    </row>
    <row r="236" spans="1:23" x14ac:dyDescent="0.35">
      <c r="A236" s="24"/>
      <c r="B236" s="54" t="s">
        <v>92</v>
      </c>
      <c r="C236" s="93"/>
      <c r="D236" s="93"/>
      <c r="E236" s="93"/>
      <c r="F236" s="25"/>
      <c r="G236" s="93"/>
      <c r="H236" s="93"/>
      <c r="I236" s="93"/>
      <c r="J236" s="93"/>
      <c r="K236" s="93"/>
      <c r="L236" s="93"/>
      <c r="M236" s="93"/>
      <c r="N236" s="93"/>
      <c r="O236" s="93"/>
      <c r="P236" s="54">
        <v>3471</v>
      </c>
      <c r="Q236" s="94">
        <f t="shared" ref="Q236:Q243" si="1">P236/$P$245</f>
        <v>0.98245117463911691</v>
      </c>
      <c r="R236" s="53">
        <v>469124</v>
      </c>
      <c r="S236" s="133">
        <f t="shared" ref="S236:S243" si="2">R236/$R$245</f>
        <v>0.97948428854786507</v>
      </c>
      <c r="T236" s="79"/>
      <c r="U236" s="88"/>
      <c r="V236" s="5"/>
    </row>
    <row r="237" spans="1:23" x14ac:dyDescent="0.35">
      <c r="A237" s="24"/>
      <c r="B237" s="54" t="s">
        <v>93</v>
      </c>
      <c r="C237" s="93"/>
      <c r="D237" s="93"/>
      <c r="E237" s="93"/>
      <c r="F237" s="25"/>
      <c r="G237" s="94"/>
      <c r="H237" s="93"/>
      <c r="I237" s="93"/>
      <c r="J237" s="93"/>
      <c r="K237" s="93"/>
      <c r="L237" s="93"/>
      <c r="M237" s="93"/>
      <c r="N237" s="93"/>
      <c r="O237" s="93"/>
      <c r="P237" s="54">
        <v>42</v>
      </c>
      <c r="Q237" s="94">
        <f t="shared" si="1"/>
        <v>1.1887913954146618E-2</v>
      </c>
      <c r="R237" s="53">
        <v>6939</v>
      </c>
      <c r="S237" s="133">
        <f t="shared" si="2"/>
        <v>1.4487942373943E-2</v>
      </c>
      <c r="T237" s="79"/>
      <c r="U237" s="88"/>
      <c r="V237" s="5"/>
      <c r="W237" s="109"/>
    </row>
    <row r="238" spans="1:23" x14ac:dyDescent="0.35">
      <c r="A238" s="24"/>
      <c r="B238" s="54" t="s">
        <v>94</v>
      </c>
      <c r="C238" s="93"/>
      <c r="D238" s="93"/>
      <c r="E238" s="93"/>
      <c r="F238" s="25"/>
      <c r="G238" s="94"/>
      <c r="H238" s="93"/>
      <c r="I238" s="93"/>
      <c r="J238" s="93"/>
      <c r="K238" s="93"/>
      <c r="L238" s="93"/>
      <c r="M238" s="93"/>
      <c r="N238" s="93"/>
      <c r="O238" s="93"/>
      <c r="P238" s="54">
        <v>13</v>
      </c>
      <c r="Q238" s="94">
        <f t="shared" si="1"/>
        <v>3.6795924143787151E-3</v>
      </c>
      <c r="R238" s="53">
        <v>2002</v>
      </c>
      <c r="S238" s="133">
        <f t="shared" si="2"/>
        <v>4.1799770330932249E-3</v>
      </c>
      <c r="T238" s="79"/>
      <c r="U238" s="88"/>
      <c r="V238" s="5"/>
    </row>
    <row r="239" spans="1:23" x14ac:dyDescent="0.35">
      <c r="A239" s="24"/>
      <c r="B239" s="54" t="s">
        <v>164</v>
      </c>
      <c r="C239" s="93"/>
      <c r="D239" s="93"/>
      <c r="E239" s="93"/>
      <c r="F239" s="25"/>
      <c r="G239" s="94"/>
      <c r="H239" s="93"/>
      <c r="I239" s="93"/>
      <c r="J239" s="93"/>
      <c r="K239" s="93"/>
      <c r="L239" s="93"/>
      <c r="M239" s="93"/>
      <c r="N239" s="93"/>
      <c r="O239" s="93"/>
      <c r="P239" s="54">
        <v>4</v>
      </c>
      <c r="Q239" s="94">
        <f t="shared" si="1"/>
        <v>1.1321822813472968E-3</v>
      </c>
      <c r="R239" s="53">
        <v>364</v>
      </c>
      <c r="S239" s="133">
        <f t="shared" si="2"/>
        <v>7.5999582419876812E-4</v>
      </c>
      <c r="T239" s="79"/>
      <c r="U239" s="88"/>
      <c r="V239" s="5"/>
      <c r="W239" s="109"/>
    </row>
    <row r="240" spans="1:23" x14ac:dyDescent="0.35">
      <c r="A240" s="24"/>
      <c r="B240" s="54" t="s">
        <v>165</v>
      </c>
      <c r="C240" s="93"/>
      <c r="D240" s="93"/>
      <c r="E240" s="93"/>
      <c r="F240" s="25"/>
      <c r="G240" s="94"/>
      <c r="H240" s="93"/>
      <c r="I240" s="93"/>
      <c r="J240" s="93"/>
      <c r="K240" s="93"/>
      <c r="L240" s="93"/>
      <c r="M240" s="93"/>
      <c r="N240" s="93"/>
      <c r="O240" s="93"/>
      <c r="P240" s="54">
        <v>3</v>
      </c>
      <c r="Q240" s="94">
        <f t="shared" si="1"/>
        <v>8.4913671101047273E-4</v>
      </c>
      <c r="R240" s="53">
        <v>521</v>
      </c>
      <c r="S240" s="133">
        <f t="shared" si="2"/>
        <v>1.0877962208998852E-3</v>
      </c>
      <c r="T240" s="79"/>
      <c r="U240" s="88"/>
      <c r="V240" s="5"/>
    </row>
    <row r="241" spans="1:23" x14ac:dyDescent="0.35">
      <c r="A241" s="24"/>
      <c r="B241" s="54" t="s">
        <v>166</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c r="W241" s="109"/>
    </row>
    <row r="242" spans="1:23" x14ac:dyDescent="0.35">
      <c r="A242" s="24"/>
      <c r="B242" s="54" t="s">
        <v>167</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row>
    <row r="243" spans="1:23" x14ac:dyDescent="0.35">
      <c r="A243" s="24"/>
      <c r="B243" s="54" t="s">
        <v>168</v>
      </c>
      <c r="C243" s="93"/>
      <c r="D243" s="93"/>
      <c r="E243" s="93"/>
      <c r="F243" s="25"/>
      <c r="G243" s="94"/>
      <c r="H243" s="93"/>
      <c r="I243" s="93"/>
      <c r="J243" s="93"/>
      <c r="K243" s="93"/>
      <c r="L243" s="93"/>
      <c r="M243" s="93"/>
      <c r="N243" s="93"/>
      <c r="O243" s="93"/>
      <c r="P243" s="54">
        <v>0</v>
      </c>
      <c r="Q243" s="94">
        <f t="shared" si="1"/>
        <v>0</v>
      </c>
      <c r="R243" s="53">
        <v>0</v>
      </c>
      <c r="S243" s="133">
        <f t="shared" si="2"/>
        <v>0</v>
      </c>
      <c r="T243" s="79"/>
      <c r="U243" s="88"/>
      <c r="V243" s="5"/>
      <c r="W243" s="109"/>
    </row>
    <row r="244" spans="1:23" x14ac:dyDescent="0.35">
      <c r="A244" s="24"/>
      <c r="B244" s="54"/>
      <c r="C244" s="93"/>
      <c r="D244" s="93"/>
      <c r="E244" s="93"/>
      <c r="F244" s="25"/>
      <c r="G244" s="94"/>
      <c r="H244" s="93"/>
      <c r="I244" s="93"/>
      <c r="J244" s="93"/>
      <c r="K244" s="93"/>
      <c r="L244" s="93"/>
      <c r="M244" s="93"/>
      <c r="N244" s="93"/>
      <c r="O244" s="93"/>
      <c r="P244" s="54"/>
      <c r="Q244" s="94"/>
      <c r="R244" s="53"/>
      <c r="S244" s="133"/>
      <c r="T244" s="79"/>
      <c r="U244" s="88"/>
      <c r="V244" s="5"/>
    </row>
    <row r="245" spans="1:23" x14ac:dyDescent="0.35">
      <c r="A245" s="24"/>
      <c r="B245" s="25"/>
      <c r="C245" s="25"/>
      <c r="D245" s="25"/>
      <c r="E245" s="25"/>
      <c r="F245" s="25"/>
      <c r="G245" s="25"/>
      <c r="H245" s="95"/>
      <c r="I245" s="95"/>
      <c r="J245" s="95"/>
      <c r="K245" s="95"/>
      <c r="L245" s="95"/>
      <c r="M245" s="95"/>
      <c r="N245" s="95"/>
      <c r="O245" s="95"/>
      <c r="P245" s="34">
        <f>SUM(P236:P244)</f>
        <v>3533</v>
      </c>
      <c r="Q245" s="133">
        <f>SUM(Q236:Q244)</f>
        <v>1</v>
      </c>
      <c r="R245" s="53">
        <f>SUM(R236:R244)</f>
        <v>478950</v>
      </c>
      <c r="S245" s="133">
        <f>SUM(S236:S244)</f>
        <v>1</v>
      </c>
      <c r="T245" s="25"/>
      <c r="U245" s="25"/>
      <c r="V245" s="5"/>
    </row>
    <row r="246" spans="1:23" x14ac:dyDescent="0.35">
      <c r="A246" s="24"/>
      <c r="B246" s="25"/>
      <c r="C246" s="25"/>
      <c r="D246" s="25"/>
      <c r="E246" s="25"/>
      <c r="F246" s="25"/>
      <c r="G246" s="25"/>
      <c r="H246" s="95"/>
      <c r="I246" s="95"/>
      <c r="J246" s="95"/>
      <c r="K246" s="95"/>
      <c r="L246" s="95"/>
      <c r="M246" s="95"/>
      <c r="N246" s="95"/>
      <c r="O246" s="95"/>
      <c r="P246" s="34"/>
      <c r="Q246" s="133"/>
      <c r="R246" s="53"/>
      <c r="S246" s="133"/>
      <c r="T246" s="25"/>
      <c r="U246" s="25"/>
      <c r="V246" s="5"/>
    </row>
    <row r="247" spans="1:23" x14ac:dyDescent="0.35">
      <c r="A247" s="142"/>
      <c r="B247" s="14" t="s">
        <v>275</v>
      </c>
      <c r="C247" s="81"/>
      <c r="D247" s="81"/>
      <c r="E247" s="81"/>
      <c r="F247" s="82"/>
      <c r="G247" s="81"/>
      <c r="H247" s="17"/>
      <c r="I247" s="17"/>
      <c r="J247" s="17"/>
      <c r="K247" s="17"/>
      <c r="L247" s="17"/>
      <c r="M247" s="17"/>
      <c r="N247" s="17"/>
      <c r="O247" s="17"/>
      <c r="P247" s="83" t="s">
        <v>106</v>
      </c>
      <c r="Q247" s="17" t="s">
        <v>107</v>
      </c>
      <c r="R247" s="83" t="s">
        <v>115</v>
      </c>
      <c r="S247" s="17" t="s">
        <v>107</v>
      </c>
      <c r="T247" s="140"/>
      <c r="U247" s="141"/>
      <c r="V247" s="5"/>
    </row>
    <row r="248" spans="1:23" x14ac:dyDescent="0.35">
      <c r="A248" s="24"/>
      <c r="B248" s="54" t="s">
        <v>92</v>
      </c>
      <c r="C248" s="93"/>
      <c r="D248" s="93"/>
      <c r="E248" s="93"/>
      <c r="F248" s="25"/>
      <c r="G248" s="93"/>
      <c r="H248" s="93"/>
      <c r="I248" s="93"/>
      <c r="J248" s="93"/>
      <c r="K248" s="93"/>
      <c r="L248" s="93"/>
      <c r="M248" s="93"/>
      <c r="N248" s="93"/>
      <c r="O248" s="93"/>
      <c r="P248" s="54">
        <v>70</v>
      </c>
      <c r="Q248" s="94">
        <f t="shared" ref="Q248:Q255" si="3">P248/$P$257</f>
        <v>0.42424242424242425</v>
      </c>
      <c r="R248" s="53">
        <v>9153</v>
      </c>
      <c r="S248" s="133">
        <f t="shared" ref="S248:S255" si="4">R248/$R$257</f>
        <v>0.37231532704197851</v>
      </c>
      <c r="T248" s="25"/>
      <c r="U248" s="25"/>
      <c r="V248" s="5"/>
    </row>
    <row r="249" spans="1:23" x14ac:dyDescent="0.35">
      <c r="A249" s="24"/>
      <c r="B249" s="54" t="s">
        <v>93</v>
      </c>
      <c r="C249" s="93"/>
      <c r="D249" s="93"/>
      <c r="E249" s="93"/>
      <c r="F249" s="25"/>
      <c r="G249" s="94"/>
      <c r="H249" s="93"/>
      <c r="I249" s="93"/>
      <c r="J249" s="93"/>
      <c r="K249" s="93"/>
      <c r="L249" s="93"/>
      <c r="M249" s="93"/>
      <c r="N249" s="93"/>
      <c r="O249" s="93"/>
      <c r="P249" s="54">
        <v>23</v>
      </c>
      <c r="Q249" s="94">
        <f t="shared" si="3"/>
        <v>0.1393939393939394</v>
      </c>
      <c r="R249" s="53">
        <v>3491</v>
      </c>
      <c r="S249" s="133">
        <f t="shared" si="4"/>
        <v>0.14200292873413603</v>
      </c>
      <c r="T249" s="25"/>
      <c r="U249" s="25"/>
      <c r="V249" s="5"/>
    </row>
    <row r="250" spans="1:23" x14ac:dyDescent="0.35">
      <c r="A250" s="24"/>
      <c r="B250" s="54" t="s">
        <v>94</v>
      </c>
      <c r="C250" s="93"/>
      <c r="D250" s="93"/>
      <c r="E250" s="93"/>
      <c r="F250" s="25"/>
      <c r="G250" s="94"/>
      <c r="H250" s="93"/>
      <c r="I250" s="93"/>
      <c r="J250" s="93"/>
      <c r="K250" s="93"/>
      <c r="L250" s="93"/>
      <c r="M250" s="93"/>
      <c r="N250" s="93"/>
      <c r="O250" s="93"/>
      <c r="P250" s="54">
        <v>19</v>
      </c>
      <c r="Q250" s="94">
        <f t="shared" si="3"/>
        <v>0.11515151515151516</v>
      </c>
      <c r="R250" s="53">
        <v>3236</v>
      </c>
      <c r="S250" s="133">
        <f t="shared" si="4"/>
        <v>0.13163032866905305</v>
      </c>
      <c r="T250" s="25"/>
      <c r="U250" s="25"/>
      <c r="V250" s="5"/>
    </row>
    <row r="251" spans="1:23" x14ac:dyDescent="0.35">
      <c r="A251" s="24"/>
      <c r="B251" s="54" t="s">
        <v>164</v>
      </c>
      <c r="C251" s="93"/>
      <c r="D251" s="93"/>
      <c r="E251" s="93"/>
      <c r="F251" s="25"/>
      <c r="G251" s="94"/>
      <c r="H251" s="93"/>
      <c r="I251" s="93"/>
      <c r="J251" s="93"/>
      <c r="K251" s="93"/>
      <c r="L251" s="93"/>
      <c r="M251" s="93"/>
      <c r="N251" s="93"/>
      <c r="O251" s="93"/>
      <c r="P251" s="54">
        <v>1</v>
      </c>
      <c r="Q251" s="94">
        <f t="shared" si="3"/>
        <v>6.0606060606060606E-3</v>
      </c>
      <c r="R251" s="53">
        <v>308</v>
      </c>
      <c r="S251" s="133">
        <f t="shared" si="4"/>
        <v>1.2528473804100227E-2</v>
      </c>
      <c r="T251" s="25"/>
      <c r="U251" s="25"/>
      <c r="V251" s="5"/>
    </row>
    <row r="252" spans="1:23" x14ac:dyDescent="0.35">
      <c r="A252" s="24"/>
      <c r="B252" s="54" t="s">
        <v>165</v>
      </c>
      <c r="C252" s="93"/>
      <c r="D252" s="93"/>
      <c r="E252" s="93"/>
      <c r="F252" s="25"/>
      <c r="G252" s="94"/>
      <c r="H252" s="93"/>
      <c r="I252" s="93"/>
      <c r="J252" s="93"/>
      <c r="K252" s="93"/>
      <c r="L252" s="93"/>
      <c r="M252" s="93"/>
      <c r="N252" s="93"/>
      <c r="O252" s="93"/>
      <c r="P252" s="54">
        <v>9</v>
      </c>
      <c r="Q252" s="94">
        <f t="shared" si="3"/>
        <v>5.4545454545454543E-2</v>
      </c>
      <c r="R252" s="53">
        <v>1315</v>
      </c>
      <c r="S252" s="133">
        <f t="shared" si="4"/>
        <v>5.3490074845427921E-2</v>
      </c>
      <c r="T252" s="25"/>
      <c r="U252" s="25"/>
      <c r="V252" s="5"/>
    </row>
    <row r="253" spans="1:23" x14ac:dyDescent="0.35">
      <c r="A253" s="24"/>
      <c r="B253" s="54" t="s">
        <v>166</v>
      </c>
      <c r="C253" s="93"/>
      <c r="D253" s="93"/>
      <c r="E253" s="93"/>
      <c r="F253" s="25"/>
      <c r="G253" s="94"/>
      <c r="H253" s="93"/>
      <c r="I253" s="93"/>
      <c r="J253" s="93"/>
      <c r="K253" s="93"/>
      <c r="L253" s="93"/>
      <c r="M253" s="93"/>
      <c r="N253" s="93"/>
      <c r="O253" s="93"/>
      <c r="P253" s="54">
        <v>8</v>
      </c>
      <c r="Q253" s="94">
        <f t="shared" si="3"/>
        <v>4.8484848484848485E-2</v>
      </c>
      <c r="R253" s="53">
        <v>1180</v>
      </c>
      <c r="S253" s="133">
        <f t="shared" si="4"/>
        <v>4.7998698340383991E-2</v>
      </c>
      <c r="T253" s="25"/>
      <c r="U253" s="25"/>
      <c r="V253" s="5"/>
    </row>
    <row r="254" spans="1:23" x14ac:dyDescent="0.35">
      <c r="A254" s="24"/>
      <c r="B254" s="54" t="s">
        <v>167</v>
      </c>
      <c r="C254" s="93"/>
      <c r="D254" s="93"/>
      <c r="E254" s="93"/>
      <c r="F254" s="25"/>
      <c r="G254" s="94"/>
      <c r="H254" s="93"/>
      <c r="I254" s="93"/>
      <c r="J254" s="93"/>
      <c r="K254" s="93"/>
      <c r="L254" s="93"/>
      <c r="M254" s="93"/>
      <c r="N254" s="93"/>
      <c r="O254" s="93"/>
      <c r="P254" s="54">
        <v>9</v>
      </c>
      <c r="Q254" s="94">
        <f t="shared" si="3"/>
        <v>5.4545454545454543E-2</v>
      </c>
      <c r="R254" s="53">
        <v>1661</v>
      </c>
      <c r="S254" s="133">
        <f t="shared" si="4"/>
        <v>6.756426944354052E-2</v>
      </c>
      <c r="T254" s="25"/>
      <c r="U254" s="25"/>
      <c r="V254" s="5"/>
    </row>
    <row r="255" spans="1:23" x14ac:dyDescent="0.35">
      <c r="A255" s="24"/>
      <c r="B255" s="54" t="s">
        <v>168</v>
      </c>
      <c r="C255" s="93"/>
      <c r="D255" s="93"/>
      <c r="E255" s="93"/>
      <c r="F255" s="25"/>
      <c r="G255" s="94"/>
      <c r="H255" s="93"/>
      <c r="I255" s="93"/>
      <c r="J255" s="93"/>
      <c r="K255" s="93"/>
      <c r="L255" s="93"/>
      <c r="M255" s="93"/>
      <c r="N255" s="93"/>
      <c r="O255" s="93"/>
      <c r="P255" s="54">
        <v>26</v>
      </c>
      <c r="Q255" s="94">
        <f t="shared" si="3"/>
        <v>0.15757575757575756</v>
      </c>
      <c r="R255" s="53">
        <v>4240</v>
      </c>
      <c r="S255" s="133">
        <f t="shared" si="4"/>
        <v>0.17246989912137975</v>
      </c>
      <c r="T255" s="25"/>
      <c r="U255" s="25"/>
      <c r="V255" s="5"/>
    </row>
    <row r="256" spans="1:23" x14ac:dyDescent="0.35">
      <c r="A256" s="24"/>
      <c r="B256" s="54"/>
      <c r="C256" s="93"/>
      <c r="D256" s="93"/>
      <c r="E256" s="93"/>
      <c r="F256" s="25"/>
      <c r="G256" s="94"/>
      <c r="H256" s="93"/>
      <c r="I256" s="93"/>
      <c r="J256" s="93"/>
      <c r="K256" s="93"/>
      <c r="L256" s="93"/>
      <c r="M256" s="93"/>
      <c r="N256" s="93"/>
      <c r="O256" s="93"/>
      <c r="P256" s="54"/>
      <c r="Q256" s="94"/>
      <c r="R256" s="53"/>
      <c r="S256" s="133"/>
      <c r="T256" s="25"/>
      <c r="U256" s="25"/>
      <c r="V256" s="5"/>
    </row>
    <row r="257" spans="1:22" x14ac:dyDescent="0.35">
      <c r="A257" s="24"/>
      <c r="B257" s="25"/>
      <c r="C257" s="25"/>
      <c r="D257" s="25"/>
      <c r="E257" s="25"/>
      <c r="F257" s="25"/>
      <c r="G257" s="25"/>
      <c r="H257" s="95"/>
      <c r="I257" s="95"/>
      <c r="J257" s="95"/>
      <c r="K257" s="95"/>
      <c r="L257" s="95"/>
      <c r="M257" s="95"/>
      <c r="N257" s="95"/>
      <c r="O257" s="95"/>
      <c r="P257" s="34">
        <f>SUM(P248:P256)</f>
        <v>165</v>
      </c>
      <c r="Q257" s="133">
        <f>SUM(Q248:Q256)</f>
        <v>1</v>
      </c>
      <c r="R257" s="53">
        <f>SUM(R248:R256)</f>
        <v>24584</v>
      </c>
      <c r="S257" s="133">
        <f>SUM(S248:S256)</f>
        <v>1</v>
      </c>
      <c r="T257" s="25"/>
      <c r="U257" s="25"/>
      <c r="V257" s="5"/>
    </row>
    <row r="258" spans="1:22" x14ac:dyDescent="0.35">
      <c r="A258" s="24"/>
      <c r="B258" s="25"/>
      <c r="C258" s="25"/>
      <c r="D258" s="25"/>
      <c r="E258" s="25"/>
      <c r="F258" s="25"/>
      <c r="G258" s="25"/>
      <c r="H258" s="95"/>
      <c r="I258" s="95"/>
      <c r="J258" s="95"/>
      <c r="K258" s="95"/>
      <c r="L258" s="95"/>
      <c r="M258" s="95"/>
      <c r="N258" s="95"/>
      <c r="O258" s="95"/>
      <c r="P258" s="34"/>
      <c r="Q258" s="133"/>
      <c r="R258" s="53"/>
      <c r="S258" s="133"/>
      <c r="T258" s="25"/>
      <c r="U258" s="25"/>
      <c r="V258" s="5"/>
    </row>
    <row r="259" spans="1:22" x14ac:dyDescent="0.35">
      <c r="A259" s="142"/>
      <c r="B259" s="14" t="s">
        <v>173</v>
      </c>
      <c r="C259" s="140"/>
      <c r="D259" s="140"/>
      <c r="E259" s="140"/>
      <c r="F259" s="140"/>
      <c r="G259" s="140"/>
      <c r="H259" s="146"/>
      <c r="I259" s="146"/>
      <c r="J259" s="146"/>
      <c r="K259" s="146"/>
      <c r="L259" s="146"/>
      <c r="M259" s="146"/>
      <c r="N259" s="146"/>
      <c r="O259" s="146"/>
      <c r="P259" s="83" t="s">
        <v>106</v>
      </c>
      <c r="Q259" s="17" t="s">
        <v>107</v>
      </c>
      <c r="R259" s="83" t="s">
        <v>115</v>
      </c>
      <c r="S259" s="17" t="s">
        <v>107</v>
      </c>
      <c r="T259" s="140"/>
      <c r="U259" s="141"/>
      <c r="V259" s="5"/>
    </row>
    <row r="260" spans="1:22" x14ac:dyDescent="0.35">
      <c r="A260" s="24"/>
      <c r="B260" s="54" t="s">
        <v>92</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93</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94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164</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165</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166</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167</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t="s">
        <v>168</v>
      </c>
      <c r="C267" s="25"/>
      <c r="D267" s="25"/>
      <c r="E267" s="25"/>
      <c r="F267" s="25"/>
      <c r="G267" s="25"/>
      <c r="H267" s="95"/>
      <c r="I267" s="95"/>
      <c r="J267" s="95"/>
      <c r="K267" s="95"/>
      <c r="L267" s="95"/>
      <c r="M267" s="95"/>
      <c r="N267" s="95"/>
      <c r="O267" s="95"/>
      <c r="P267" s="54">
        <v>0</v>
      </c>
      <c r="Q267" s="94">
        <v>0</v>
      </c>
      <c r="R267" s="53">
        <v>0</v>
      </c>
      <c r="S267" s="133">
        <v>0</v>
      </c>
      <c r="T267" s="25"/>
      <c r="U267" s="25"/>
      <c r="V267" s="5"/>
    </row>
    <row r="268" spans="1:22" x14ac:dyDescent="0.35">
      <c r="A268" s="24"/>
      <c r="B268" s="54"/>
      <c r="C268" s="25"/>
      <c r="D268" s="25"/>
      <c r="E268" s="25"/>
      <c r="F268" s="25"/>
      <c r="G268" s="25"/>
      <c r="H268" s="95"/>
      <c r="I268" s="95"/>
      <c r="J268" s="95"/>
      <c r="K268" s="95"/>
      <c r="L268" s="95"/>
      <c r="M268" s="95"/>
      <c r="N268" s="95"/>
      <c r="O268" s="95"/>
      <c r="P268" s="54"/>
      <c r="Q268" s="94"/>
      <c r="R268" s="53"/>
      <c r="S268" s="133"/>
      <c r="T268" s="25"/>
      <c r="U268" s="25"/>
      <c r="V268" s="5"/>
    </row>
    <row r="269" spans="1:22" x14ac:dyDescent="0.35">
      <c r="A269" s="24"/>
      <c r="B269" s="25" t="s">
        <v>121</v>
      </c>
      <c r="C269" s="25"/>
      <c r="D269" s="25"/>
      <c r="E269" s="25"/>
      <c r="F269" s="25"/>
      <c r="G269" s="25"/>
      <c r="H269" s="95"/>
      <c r="I269" s="95"/>
      <c r="J269" s="95"/>
      <c r="K269" s="95"/>
      <c r="L269" s="95"/>
      <c r="M269" s="95"/>
      <c r="N269" s="95"/>
      <c r="O269" s="95"/>
      <c r="P269" s="34">
        <f>SUM(P260:P267)</f>
        <v>0</v>
      </c>
      <c r="Q269" s="94">
        <f>SUM(Q260:Q267)</f>
        <v>0</v>
      </c>
      <c r="R269" s="53">
        <f>SUM(R260:R267)</f>
        <v>0</v>
      </c>
      <c r="S269" s="133">
        <f>SUM(S260:S267)</f>
        <v>0</v>
      </c>
      <c r="T269" s="25"/>
      <c r="U269" s="25"/>
      <c r="V269" s="5"/>
    </row>
    <row r="270" spans="1:22" x14ac:dyDescent="0.35">
      <c r="A270" s="24"/>
      <c r="B270" s="25"/>
      <c r="C270" s="25"/>
      <c r="D270" s="25"/>
      <c r="E270" s="25"/>
      <c r="F270" s="25"/>
      <c r="G270" s="25"/>
      <c r="H270" s="95"/>
      <c r="I270" s="95"/>
      <c r="J270" s="95"/>
      <c r="K270" s="95"/>
      <c r="L270" s="95"/>
      <c r="M270" s="95"/>
      <c r="N270" s="95"/>
      <c r="O270" s="95"/>
      <c r="P270" s="34"/>
      <c r="Q270" s="133"/>
      <c r="R270" s="53"/>
      <c r="S270" s="133"/>
      <c r="T270" s="25"/>
      <c r="U270" s="25"/>
      <c r="V270" s="5"/>
    </row>
    <row r="271" spans="1:22" x14ac:dyDescent="0.35">
      <c r="A271" s="24"/>
      <c r="B271" s="143" t="s">
        <v>174</v>
      </c>
      <c r="C271" s="25"/>
      <c r="D271" s="25"/>
      <c r="E271" s="25"/>
      <c r="F271" s="25"/>
      <c r="G271" s="25"/>
      <c r="H271" s="95"/>
      <c r="I271" s="95"/>
      <c r="J271" s="95"/>
      <c r="K271" s="95"/>
      <c r="L271" s="95"/>
      <c r="M271" s="95"/>
      <c r="N271" s="95"/>
      <c r="O271" s="95"/>
      <c r="P271" s="162">
        <f>P269+P257+P245</f>
        <v>3698</v>
      </c>
      <c r="Q271" s="144"/>
      <c r="R271" s="145">
        <f>+R269+R257+R245</f>
        <v>503534</v>
      </c>
      <c r="S271" s="144"/>
      <c r="T271" s="25"/>
      <c r="U271" s="25"/>
      <c r="V271" s="5"/>
    </row>
    <row r="272" spans="1:22" x14ac:dyDescent="0.35">
      <c r="A272" s="24"/>
      <c r="B272" s="25"/>
      <c r="C272" s="25"/>
      <c r="D272" s="25"/>
      <c r="E272" s="25"/>
      <c r="F272" s="25"/>
      <c r="G272" s="25"/>
      <c r="H272" s="95"/>
      <c r="I272" s="95"/>
      <c r="J272" s="95"/>
      <c r="K272" s="95"/>
      <c r="L272" s="95"/>
      <c r="M272" s="95"/>
      <c r="N272" s="95"/>
      <c r="O272" s="95"/>
      <c r="P272" s="95"/>
      <c r="Q272" s="95"/>
      <c r="R272" s="53"/>
      <c r="S272" s="95"/>
      <c r="T272" s="25"/>
      <c r="U272" s="25"/>
      <c r="V272" s="5"/>
    </row>
    <row r="273" spans="1:22" x14ac:dyDescent="0.35">
      <c r="A273" s="6"/>
      <c r="B273" s="8"/>
      <c r="C273" s="8"/>
      <c r="D273" s="8"/>
      <c r="E273" s="8"/>
      <c r="F273" s="8"/>
      <c r="G273" s="8"/>
      <c r="H273" s="96"/>
      <c r="I273" s="96"/>
      <c r="J273" s="96"/>
      <c r="K273" s="96"/>
      <c r="L273" s="96"/>
      <c r="M273" s="96"/>
      <c r="N273" s="96"/>
      <c r="O273" s="96"/>
      <c r="P273" s="96"/>
      <c r="Q273" s="96"/>
      <c r="R273" s="97"/>
      <c r="S273" s="96"/>
      <c r="T273" s="8"/>
      <c r="U273" s="8"/>
      <c r="V273" s="5"/>
    </row>
    <row r="274" spans="1:22" x14ac:dyDescent="0.35">
      <c r="A274" s="168"/>
      <c r="B274" s="14" t="s">
        <v>95</v>
      </c>
      <c r="C274" s="15"/>
      <c r="D274" s="15"/>
      <c r="E274" s="15"/>
      <c r="F274" s="17" t="s">
        <v>101</v>
      </c>
      <c r="G274" s="15"/>
      <c r="H274" s="14" t="s">
        <v>103</v>
      </c>
      <c r="I274" s="163"/>
      <c r="J274" s="163"/>
      <c r="K274" s="163"/>
      <c r="L274" s="163"/>
      <c r="M274" s="163"/>
      <c r="N274" s="163"/>
      <c r="O274" s="163"/>
      <c r="P274" s="163"/>
      <c r="Q274" s="163"/>
      <c r="R274" s="163"/>
      <c r="S274" s="163"/>
      <c r="T274" s="163"/>
      <c r="U274" s="163"/>
      <c r="V274" s="5"/>
    </row>
    <row r="275" spans="1:22" x14ac:dyDescent="0.35">
      <c r="A275" s="168"/>
      <c r="B275" s="163"/>
      <c r="C275" s="8"/>
      <c r="D275" s="8"/>
      <c r="E275" s="8"/>
      <c r="F275" s="8"/>
      <c r="G275" s="8"/>
      <c r="H275" s="8"/>
      <c r="I275" s="163"/>
      <c r="J275" s="163"/>
      <c r="K275" s="163"/>
      <c r="L275" s="163"/>
      <c r="M275" s="163"/>
      <c r="N275" s="163"/>
      <c r="O275" s="163"/>
      <c r="P275" s="163"/>
      <c r="Q275" s="163"/>
      <c r="R275" s="163"/>
      <c r="S275" s="163"/>
      <c r="T275" s="163"/>
      <c r="U275" s="163"/>
      <c r="V275" s="5"/>
    </row>
    <row r="276" spans="1:22" x14ac:dyDescent="0.35">
      <c r="A276" s="168"/>
      <c r="B276" s="13" t="s">
        <v>96</v>
      </c>
      <c r="C276" s="13"/>
      <c r="D276" s="13"/>
      <c r="E276" s="13"/>
      <c r="F276" s="131" t="s">
        <v>155</v>
      </c>
      <c r="G276" s="13"/>
      <c r="H276" s="13" t="s">
        <v>160</v>
      </c>
      <c r="I276" s="163"/>
      <c r="J276" s="163"/>
      <c r="K276" s="163"/>
      <c r="L276" s="163"/>
      <c r="M276" s="163"/>
      <c r="N276" s="163"/>
      <c r="O276" s="163"/>
      <c r="P276" s="163"/>
      <c r="Q276" s="163"/>
      <c r="R276" s="163"/>
      <c r="S276" s="163"/>
      <c r="T276" s="163"/>
      <c r="U276" s="163"/>
      <c r="V276" s="5"/>
    </row>
    <row r="277" spans="1:22" x14ac:dyDescent="0.35">
      <c r="A277" s="168"/>
      <c r="B277" s="13" t="s">
        <v>277</v>
      </c>
      <c r="C277" s="13"/>
      <c r="D277" s="13"/>
      <c r="E277" s="13"/>
      <c r="F277" s="131" t="s">
        <v>278</v>
      </c>
      <c r="G277" s="13"/>
      <c r="H277" s="13" t="s">
        <v>279</v>
      </c>
      <c r="I277" s="163"/>
      <c r="J277" s="163"/>
      <c r="K277" s="163"/>
      <c r="L277" s="163"/>
      <c r="M277" s="163"/>
      <c r="N277" s="163"/>
      <c r="O277" s="163"/>
      <c r="P277" s="163"/>
      <c r="Q277" s="163"/>
      <c r="R277" s="163"/>
      <c r="S277" s="163"/>
      <c r="T277" s="163"/>
      <c r="U277" s="163"/>
      <c r="V277" s="5"/>
    </row>
    <row r="278" spans="1:22" x14ac:dyDescent="0.35">
      <c r="A278" s="168"/>
      <c r="B278" s="13" t="s">
        <v>97</v>
      </c>
      <c r="C278" s="13"/>
      <c r="D278" s="13"/>
      <c r="E278" s="13"/>
      <c r="F278" s="131" t="s">
        <v>154</v>
      </c>
      <c r="G278" s="13"/>
      <c r="H278" s="13" t="s">
        <v>161</v>
      </c>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x14ac:dyDescent="0.35">
      <c r="A280" s="168"/>
      <c r="B280" s="13"/>
      <c r="C280" s="13"/>
      <c r="D280" s="13"/>
      <c r="E280" s="13"/>
      <c r="F280" s="13"/>
      <c r="G280" s="99"/>
      <c r="H280" s="163"/>
      <c r="I280" s="163"/>
      <c r="J280" s="163"/>
      <c r="K280" s="163"/>
      <c r="L280" s="163"/>
      <c r="M280" s="163"/>
      <c r="N280" s="163"/>
      <c r="O280" s="163"/>
      <c r="P280" s="163"/>
      <c r="Q280" s="163"/>
      <c r="R280" s="163"/>
      <c r="S280" s="163"/>
      <c r="T280" s="163"/>
      <c r="U280" s="163"/>
      <c r="V280" s="5"/>
    </row>
    <row r="281" spans="1:22" ht="18" thickBot="1" x14ac:dyDescent="0.4">
      <c r="A281" s="168"/>
      <c r="B281" s="49" t="str">
        <f>B197</f>
        <v>PM10 INVESTOR REPORT QUARTER ENDING NOVEMBER 2009</v>
      </c>
      <c r="C281" s="13"/>
      <c r="D281" s="13"/>
      <c r="E281" s="13"/>
      <c r="F281" s="13"/>
      <c r="G281" s="99"/>
      <c r="H281" s="163"/>
      <c r="I281" s="163"/>
      <c r="J281" s="163"/>
      <c r="K281" s="163"/>
      <c r="L281" s="163"/>
      <c r="M281" s="163"/>
      <c r="N281" s="163"/>
      <c r="O281" s="163"/>
      <c r="P281" s="163"/>
      <c r="Q281" s="163"/>
      <c r="R281" s="163"/>
      <c r="S281" s="163"/>
      <c r="T281" s="163"/>
      <c r="U281" s="163"/>
      <c r="V281" s="5"/>
    </row>
    <row r="282" spans="1:22" x14ac:dyDescent="0.35">
      <c r="A282" s="100"/>
      <c r="B282" s="100"/>
      <c r="C282" s="100"/>
      <c r="D282" s="100"/>
      <c r="E282" s="100"/>
      <c r="F282" s="100"/>
      <c r="G282" s="100"/>
      <c r="H282" s="100"/>
      <c r="I282" s="100"/>
      <c r="J282" s="100"/>
      <c r="K282" s="100"/>
      <c r="L282" s="100"/>
      <c r="M282" s="100"/>
      <c r="N282" s="100"/>
      <c r="O282" s="100"/>
      <c r="P282" s="100"/>
      <c r="Q282" s="100"/>
      <c r="R282" s="100"/>
      <c r="S282" s="100"/>
      <c r="T282" s="100"/>
      <c r="U282" s="100"/>
    </row>
  </sheetData>
  <phoneticPr fontId="0" type="noConversion"/>
  <hyperlinks>
    <hyperlink ref="J9" r:id="rId1" xr:uid="{00000000-0004-0000-0F00-000000000000}"/>
    <hyperlink ref="N233" r:id="rId2" xr:uid="{00000000-0004-0000-0F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7"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2D2926"/>
  </sheetPr>
  <dimension ref="A1:W282"/>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0.65169999999999995</v>
      </c>
      <c r="R16" s="17" t="s">
        <v>147</v>
      </c>
      <c r="S16" s="138">
        <v>0.3483</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40256</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234045.02</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221983.96</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134277.15994719998</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503534.15994719998</v>
      </c>
      <c r="U35" s="34"/>
      <c r="V35" s="5"/>
    </row>
    <row r="36" spans="1:22" x14ac:dyDescent="0.35">
      <c r="A36" s="28"/>
      <c r="B36" s="29" t="s">
        <v>298</v>
      </c>
      <c r="C36" s="126"/>
      <c r="D36" s="35">
        <f>D37*D34</f>
        <v>127357.44474560001</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496614.44474559999</v>
      </c>
      <c r="U36" s="34"/>
      <c r="V36" s="5"/>
    </row>
    <row r="37" spans="1:22" x14ac:dyDescent="0.35">
      <c r="A37" s="24"/>
      <c r="B37" s="122" t="s">
        <v>137</v>
      </c>
      <c r="C37" s="25"/>
      <c r="D37" s="170">
        <v>0.2018036</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0.21276819999999999</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3.2188E-3</v>
      </c>
      <c r="E40" s="25"/>
      <c r="F40" s="38">
        <v>7.6563000000000004E-3</v>
      </c>
      <c r="G40" s="39"/>
      <c r="H40" s="38">
        <v>8.7399999999999995E-3</v>
      </c>
      <c r="I40" s="39"/>
      <c r="J40" s="38">
        <v>8.7562999999999998E-3</v>
      </c>
      <c r="K40" s="39"/>
      <c r="L40" s="38">
        <v>9.8399999999999998E-3</v>
      </c>
      <c r="M40" s="39"/>
      <c r="N40" s="38">
        <v>1.15563E-2</v>
      </c>
      <c r="O40" s="39"/>
      <c r="P40" s="38">
        <v>1.264E-2</v>
      </c>
      <c r="Q40" s="39"/>
      <c r="R40" s="38"/>
      <c r="S40" s="164"/>
      <c r="T40" s="30"/>
      <c r="U40" s="25"/>
      <c r="V40" s="5"/>
    </row>
    <row r="41" spans="1:22" x14ac:dyDescent="0.35">
      <c r="A41" s="24"/>
      <c r="B41" s="25" t="s">
        <v>13</v>
      </c>
      <c r="C41" s="25"/>
      <c r="D41" s="38">
        <v>3.2875000000000001E-3</v>
      </c>
      <c r="E41" s="25"/>
      <c r="F41" s="38">
        <v>7.7063000000000001E-3</v>
      </c>
      <c r="G41" s="39"/>
      <c r="H41" s="38">
        <v>9.3299999999999998E-3</v>
      </c>
      <c r="I41" s="39"/>
      <c r="J41" s="38">
        <v>8.8062999999999995E-3</v>
      </c>
      <c r="K41" s="39"/>
      <c r="L41" s="38">
        <v>1.043E-2</v>
      </c>
      <c r="M41" s="39"/>
      <c r="N41" s="38">
        <v>1.16063E-2</v>
      </c>
      <c r="O41" s="39"/>
      <c r="P41" s="38">
        <v>1.323E-2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7.2119000000000003E-3</v>
      </c>
      <c r="E43" s="25"/>
      <c r="F43" s="38">
        <f>+F40</f>
        <v>7.6563000000000004E-3</v>
      </c>
      <c r="G43" s="39"/>
      <c r="H43" s="38">
        <v>7.8813000000000008E-3</v>
      </c>
      <c r="I43" s="39"/>
      <c r="J43" s="38">
        <f>+J40</f>
        <v>8.7562999999999998E-3</v>
      </c>
      <c r="K43" s="39"/>
      <c r="L43" s="38">
        <v>9.1213000000000006E-3</v>
      </c>
      <c r="M43" s="39"/>
      <c r="N43" s="38">
        <f>+N40</f>
        <v>1.15563E-2</v>
      </c>
      <c r="O43" s="39"/>
      <c r="P43" s="38">
        <v>1.2171299999999999E-2</v>
      </c>
      <c r="Q43" s="30"/>
      <c r="R43" s="30"/>
      <c r="S43" s="164"/>
      <c r="T43" s="39">
        <f>SUMPRODUCT(D43:P43,D35:P35)/T35</f>
        <v>8.276363761219702E-3</v>
      </c>
      <c r="U43" s="25"/>
      <c r="V43" s="5"/>
    </row>
    <row r="44" spans="1:22" x14ac:dyDescent="0.35">
      <c r="A44" s="24"/>
      <c r="B44" s="25" t="s">
        <v>301</v>
      </c>
      <c r="C44" s="110"/>
      <c r="D44" s="38">
        <v>7.2619E-3</v>
      </c>
      <c r="E44" s="25"/>
      <c r="F44" s="38">
        <f>+F41</f>
        <v>7.7063000000000001E-3</v>
      </c>
      <c r="G44" s="39"/>
      <c r="H44" s="38">
        <v>7.9313000000000005E-3</v>
      </c>
      <c r="I44" s="39"/>
      <c r="J44" s="38">
        <f>+J41</f>
        <v>8.8062999999999995E-3</v>
      </c>
      <c r="K44" s="39"/>
      <c r="L44" s="38">
        <v>9.1713000000000003E-3</v>
      </c>
      <c r="M44" s="39"/>
      <c r="N44" s="38">
        <f>+N41</f>
        <v>1.16063E-2</v>
      </c>
      <c r="O44" s="39"/>
      <c r="P44" s="38">
        <v>1.2221299999999999E-2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0.29882248029986819</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40252</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40071</v>
      </c>
      <c r="S57" s="46"/>
      <c r="T57" s="45">
        <v>40161</v>
      </c>
      <c r="U57" s="25"/>
      <c r="V57" s="5"/>
    </row>
    <row r="58" spans="1:23" x14ac:dyDescent="0.35">
      <c r="A58" s="24"/>
      <c r="B58" s="25" t="s">
        <v>129</v>
      </c>
      <c r="C58" s="25"/>
      <c r="D58" s="25"/>
      <c r="E58" s="25"/>
      <c r="F58" s="25"/>
      <c r="G58" s="25"/>
      <c r="H58" s="25"/>
      <c r="I58" s="25"/>
      <c r="J58" s="25"/>
      <c r="K58" s="25"/>
      <c r="L58" s="25"/>
      <c r="M58" s="25"/>
      <c r="N58" s="25"/>
      <c r="O58" s="25"/>
      <c r="P58" s="25">
        <f>+T58-R58+1</f>
        <v>90</v>
      </c>
      <c r="Q58" s="25"/>
      <c r="R58" s="45">
        <v>40162</v>
      </c>
      <c r="S58" s="46"/>
      <c r="T58" s="45">
        <v>40251</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40238</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304</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503534</v>
      </c>
      <c r="M69" s="34"/>
      <c r="N69" s="34">
        <f>6920+167+21</f>
        <v>7108</v>
      </c>
      <c r="O69" s="34"/>
      <c r="P69" s="34">
        <f>167+21</f>
        <v>188</v>
      </c>
      <c r="Q69" s="34"/>
      <c r="R69" s="34">
        <v>0</v>
      </c>
      <c r="S69" s="34"/>
      <c r="T69" s="53">
        <f>+L69-N69+P69-R69</f>
        <v>496614</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503534</v>
      </c>
      <c r="M72" s="34"/>
      <c r="N72" s="34">
        <f>SUM(N69:N71)</f>
        <v>7108</v>
      </c>
      <c r="O72" s="34"/>
      <c r="P72" s="34">
        <f>SUM(P69:P71)</f>
        <v>188</v>
      </c>
      <c r="Q72" s="34"/>
      <c r="R72" s="34">
        <f>SUM(R69:R71)</f>
        <v>0</v>
      </c>
      <c r="S72" s="34"/>
      <c r="T72" s="54">
        <f>SUM(T69:T71)</f>
        <v>496614</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503534</v>
      </c>
      <c r="M85" s="34"/>
      <c r="N85" s="34"/>
      <c r="O85" s="34"/>
      <c r="P85" s="34"/>
      <c r="Q85" s="34"/>
      <c r="R85" s="54"/>
      <c r="S85" s="34"/>
      <c r="T85" s="54">
        <f>SUM(T72:T84)</f>
        <v>496614</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+R198</f>
        <v>40235</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7108-1194</f>
        <v>5914</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3100+1621-728-248+16+1</f>
        <v>3762</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94+74</f>
        <v>168</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30</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0</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59</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5914</v>
      </c>
      <c r="S97" s="25"/>
      <c r="T97" s="54">
        <f>SUM(T89:T96)</f>
        <v>4019</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-19</v>
      </c>
      <c r="S98" s="25"/>
      <c r="T98" s="54">
        <v>19</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745</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5895</v>
      </c>
      <c r="S101" s="25"/>
      <c r="T101" s="54">
        <f>T97+T99+T98+T100</f>
        <v>4783</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-188-111-6</f>
        <v>-305</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-1244</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f>-728+198</f>
        <v>-530</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-198</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-30</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v>-67</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-56</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-147</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1194</v>
      </c>
      <c r="S115" s="25"/>
      <c r="T115" s="53">
        <v>-1194</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-188</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-808</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-R182</f>
        <v>0</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-1</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-Q182</f>
        <v>-168</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-6920</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-7089</v>
      </c>
      <c r="S132" s="34"/>
      <c r="T132" s="34">
        <f>SUM(T102:T130)</f>
        <v>-4783</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FEBRUARY 2010</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2300</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2300</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1194</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1194</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-1194</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x14ac:dyDescent="0.35">
      <c r="A170" s="24"/>
      <c r="B170" s="25" t="s">
        <v>285</v>
      </c>
      <c r="C170" s="25"/>
      <c r="D170" s="25"/>
      <c r="E170" s="25"/>
      <c r="F170" s="25"/>
      <c r="G170" s="25"/>
      <c r="H170" s="25"/>
      <c r="I170" s="25"/>
      <c r="J170" s="25"/>
      <c r="K170" s="25"/>
      <c r="L170" s="25"/>
      <c r="M170" s="25"/>
      <c r="N170" s="25"/>
      <c r="O170" s="25"/>
      <c r="P170" s="25"/>
      <c r="Q170" s="25"/>
      <c r="R170" s="25"/>
      <c r="S170" s="25"/>
      <c r="T170" s="53">
        <v>0</v>
      </c>
      <c r="U170" s="25"/>
      <c r="V170" s="5"/>
    </row>
    <row r="171" spans="1:22" ht="16" thickBot="1" x14ac:dyDescent="0.4">
      <c r="A171" s="24"/>
      <c r="B171" s="25"/>
      <c r="C171" s="25"/>
      <c r="D171" s="25"/>
      <c r="E171" s="25"/>
      <c r="F171" s="25"/>
      <c r="G171" s="25"/>
      <c r="H171" s="25"/>
      <c r="I171" s="25"/>
      <c r="J171" s="25"/>
      <c r="K171" s="25"/>
      <c r="L171" s="25"/>
      <c r="M171" s="25"/>
      <c r="N171" s="25"/>
      <c r="O171" s="25"/>
      <c r="P171" s="25"/>
      <c r="Q171" s="25"/>
      <c r="R171" s="25"/>
      <c r="S171" s="25"/>
      <c r="T171" s="61"/>
      <c r="U171" s="25"/>
      <c r="V171" s="5"/>
    </row>
    <row r="172" spans="1:22" x14ac:dyDescent="0.35">
      <c r="A172" s="2"/>
      <c r="B172" s="4"/>
      <c r="C172" s="4"/>
      <c r="D172" s="4"/>
      <c r="E172" s="4"/>
      <c r="F172" s="4"/>
      <c r="G172" s="4"/>
      <c r="H172" s="4"/>
      <c r="I172" s="4"/>
      <c r="J172" s="4"/>
      <c r="K172" s="4"/>
      <c r="L172" s="4"/>
      <c r="M172" s="4"/>
      <c r="N172" s="4"/>
      <c r="O172" s="4"/>
      <c r="P172" s="4"/>
      <c r="Q172" s="4"/>
      <c r="R172" s="4"/>
      <c r="S172" s="4"/>
      <c r="T172" s="50"/>
      <c r="U172" s="4"/>
      <c r="V172" s="5"/>
    </row>
    <row r="173" spans="1:22" x14ac:dyDescent="0.35">
      <c r="A173" s="6"/>
      <c r="B173" s="119" t="s">
        <v>58</v>
      </c>
      <c r="C173" s="8"/>
      <c r="D173" s="8"/>
      <c r="E173" s="8"/>
      <c r="F173" s="8"/>
      <c r="G173" s="8"/>
      <c r="H173" s="8"/>
      <c r="I173" s="8"/>
      <c r="J173" s="8"/>
      <c r="K173" s="8"/>
      <c r="L173" s="8"/>
      <c r="M173" s="8"/>
      <c r="N173" s="8"/>
      <c r="O173" s="8"/>
      <c r="P173" s="8"/>
      <c r="Q173" s="8"/>
      <c r="R173" s="8"/>
      <c r="S173" s="8"/>
      <c r="T173" s="52"/>
      <c r="U173" s="8"/>
      <c r="V173" s="5"/>
    </row>
    <row r="174" spans="1:22" x14ac:dyDescent="0.35">
      <c r="A174" s="6"/>
      <c r="B174" s="21"/>
      <c r="C174" s="8"/>
      <c r="D174" s="8"/>
      <c r="E174" s="8"/>
      <c r="F174" s="8"/>
      <c r="G174" s="8"/>
      <c r="H174" s="8"/>
      <c r="I174" s="8"/>
      <c r="J174" s="8"/>
      <c r="K174" s="8"/>
      <c r="L174" s="8"/>
      <c r="M174" s="8"/>
      <c r="N174" s="8"/>
      <c r="O174" s="8"/>
      <c r="P174" s="8"/>
      <c r="Q174" s="8"/>
      <c r="R174" s="8"/>
      <c r="S174" s="8"/>
      <c r="T174" s="52"/>
      <c r="U174" s="8"/>
      <c r="V174" s="5"/>
    </row>
    <row r="175" spans="1:22" x14ac:dyDescent="0.35">
      <c r="A175" s="24"/>
      <c r="B175" s="25" t="s">
        <v>59</v>
      </c>
      <c r="C175" s="25"/>
      <c r="D175" s="25"/>
      <c r="E175" s="25"/>
      <c r="F175" s="25"/>
      <c r="G175" s="25"/>
      <c r="H175" s="25"/>
      <c r="I175" s="25"/>
      <c r="J175" s="25"/>
      <c r="K175" s="25"/>
      <c r="L175" s="25"/>
      <c r="M175" s="25"/>
      <c r="N175" s="25"/>
      <c r="O175" s="25"/>
      <c r="P175" s="25"/>
      <c r="Q175" s="25"/>
      <c r="R175" s="25"/>
      <c r="S175" s="25"/>
      <c r="T175" s="53">
        <f>T72</f>
        <v>496614</v>
      </c>
      <c r="U175" s="25"/>
      <c r="V175" s="5"/>
    </row>
    <row r="176" spans="1:22" x14ac:dyDescent="0.35">
      <c r="A176" s="24"/>
      <c r="B176" s="25" t="s">
        <v>60</v>
      </c>
      <c r="C176" s="25"/>
      <c r="D176" s="25"/>
      <c r="E176" s="25"/>
      <c r="F176" s="25"/>
      <c r="G176" s="25"/>
      <c r="H176" s="25"/>
      <c r="I176" s="25"/>
      <c r="J176" s="25"/>
      <c r="K176" s="25"/>
      <c r="L176" s="25"/>
      <c r="M176" s="25"/>
      <c r="N176" s="25"/>
      <c r="O176" s="25"/>
      <c r="P176" s="25"/>
      <c r="Q176" s="25"/>
      <c r="R176" s="25"/>
      <c r="S176" s="25"/>
      <c r="T176" s="53">
        <f>T85</f>
        <v>496614</v>
      </c>
      <c r="U176" s="25"/>
      <c r="V176" s="5"/>
    </row>
    <row r="177" spans="1:22" ht="16" thickBot="1" x14ac:dyDescent="0.4">
      <c r="A177" s="24"/>
      <c r="B177" s="25"/>
      <c r="C177" s="25"/>
      <c r="D177" s="25"/>
      <c r="E177" s="25"/>
      <c r="F177" s="25"/>
      <c r="G177" s="25"/>
      <c r="H177" s="25"/>
      <c r="I177" s="25"/>
      <c r="J177" s="25"/>
      <c r="K177" s="25"/>
      <c r="L177" s="25"/>
      <c r="M177" s="25"/>
      <c r="N177" s="25"/>
      <c r="O177" s="25"/>
      <c r="P177" s="25"/>
      <c r="Q177" s="25"/>
      <c r="R177" s="25"/>
      <c r="S177" s="25"/>
      <c r="T177" s="61"/>
      <c r="U177" s="25"/>
      <c r="V177" s="5"/>
    </row>
    <row r="178" spans="1:22" x14ac:dyDescent="0.35">
      <c r="A178" s="2"/>
      <c r="B178" s="4"/>
      <c r="C178" s="4"/>
      <c r="D178" s="4"/>
      <c r="E178" s="4"/>
      <c r="F178" s="4"/>
      <c r="G178" s="4"/>
      <c r="H178" s="4"/>
      <c r="I178" s="4"/>
      <c r="J178" s="4"/>
      <c r="K178" s="4"/>
      <c r="L178" s="4"/>
      <c r="M178" s="4"/>
      <c r="N178" s="4"/>
      <c r="O178" s="4"/>
      <c r="P178" s="4"/>
      <c r="Q178" s="4"/>
      <c r="R178" s="4"/>
      <c r="S178" s="4"/>
      <c r="T178" s="50"/>
      <c r="U178" s="4"/>
      <c r="V178" s="5"/>
    </row>
    <row r="179" spans="1:22" x14ac:dyDescent="0.35">
      <c r="A179" s="6"/>
      <c r="B179" s="119" t="s">
        <v>61</v>
      </c>
      <c r="C179" s="117"/>
      <c r="D179" s="117"/>
      <c r="E179" s="117"/>
      <c r="F179" s="117"/>
      <c r="G179" s="117"/>
      <c r="H179" s="120"/>
      <c r="I179" s="120"/>
      <c r="J179" s="120"/>
      <c r="K179" s="120"/>
      <c r="L179" s="120"/>
      <c r="M179" s="120"/>
      <c r="N179" s="120"/>
      <c r="O179" s="120"/>
      <c r="P179" s="120"/>
      <c r="Q179" s="120" t="s">
        <v>105</v>
      </c>
      <c r="R179" s="120" t="s">
        <v>187</v>
      </c>
      <c r="S179" s="111"/>
      <c r="T179" s="121" t="s">
        <v>121</v>
      </c>
      <c r="U179" s="10"/>
      <c r="V179" s="5"/>
    </row>
    <row r="180" spans="1:22" x14ac:dyDescent="0.35">
      <c r="A180" s="24"/>
      <c r="B180" s="25" t="s">
        <v>62</v>
      </c>
      <c r="C180" s="25"/>
      <c r="D180" s="25"/>
      <c r="E180" s="25"/>
      <c r="F180" s="25"/>
      <c r="G180" s="25"/>
      <c r="H180" s="25"/>
      <c r="I180" s="25"/>
      <c r="J180" s="25"/>
      <c r="K180" s="25"/>
      <c r="L180" s="25"/>
      <c r="M180" s="25"/>
      <c r="N180" s="25"/>
      <c r="O180" s="25"/>
      <c r="P180" s="25"/>
      <c r="Q180" s="53">
        <f>+T34*0.16</f>
        <v>160056.48000000001</v>
      </c>
      <c r="R180" s="40"/>
      <c r="S180" s="25"/>
      <c r="T180" s="53"/>
      <c r="U180" s="25"/>
      <c r="V180" s="5"/>
    </row>
    <row r="181" spans="1:22" x14ac:dyDescent="0.35">
      <c r="A181" s="24"/>
      <c r="B181" s="25" t="s">
        <v>63</v>
      </c>
      <c r="C181" s="25"/>
      <c r="D181" s="25"/>
      <c r="E181" s="25"/>
      <c r="F181" s="25"/>
      <c r="G181" s="25"/>
      <c r="H181" s="25"/>
      <c r="I181" s="25"/>
      <c r="J181" s="25"/>
      <c r="K181" s="25"/>
      <c r="L181" s="25"/>
      <c r="M181" s="25"/>
      <c r="N181" s="25"/>
      <c r="O181" s="25"/>
      <c r="P181" s="25"/>
      <c r="Q181" s="53">
        <f>+'Nov 09'!Q183</f>
        <v>42181</v>
      </c>
      <c r="R181" s="53">
        <f>+'Nov 09'!R183</f>
        <v>5971</v>
      </c>
      <c r="S181" s="25"/>
      <c r="T181" s="53">
        <f>Q181+R181</f>
        <v>48152</v>
      </c>
      <c r="U181" s="25"/>
      <c r="V181" s="5"/>
    </row>
    <row r="182" spans="1:22" x14ac:dyDescent="0.35">
      <c r="A182" s="24"/>
      <c r="B182" s="25" t="s">
        <v>64</v>
      </c>
      <c r="C182" s="25"/>
      <c r="D182" s="25"/>
      <c r="E182" s="25"/>
      <c r="F182" s="25"/>
      <c r="G182" s="25"/>
      <c r="H182" s="25"/>
      <c r="I182" s="25"/>
      <c r="J182" s="25"/>
      <c r="K182" s="25"/>
      <c r="L182" s="25"/>
      <c r="M182" s="25"/>
      <c r="N182" s="25"/>
      <c r="O182" s="25"/>
      <c r="P182" s="25"/>
      <c r="Q182" s="34">
        <v>168</v>
      </c>
      <c r="R182" s="34">
        <v>0</v>
      </c>
      <c r="S182" s="25"/>
      <c r="T182" s="53">
        <f>Q182+R182</f>
        <v>168</v>
      </c>
      <c r="U182" s="25"/>
      <c r="V182" s="5"/>
    </row>
    <row r="183" spans="1:22" x14ac:dyDescent="0.35">
      <c r="A183" s="24"/>
      <c r="B183" s="25" t="s">
        <v>65</v>
      </c>
      <c r="C183" s="25"/>
      <c r="D183" s="25"/>
      <c r="E183" s="25"/>
      <c r="F183" s="25"/>
      <c r="G183" s="25"/>
      <c r="H183" s="25"/>
      <c r="I183" s="25"/>
      <c r="J183" s="25"/>
      <c r="K183" s="25"/>
      <c r="L183" s="25"/>
      <c r="M183" s="25"/>
      <c r="N183" s="25"/>
      <c r="O183" s="25"/>
      <c r="P183" s="25"/>
      <c r="Q183" s="53">
        <f>Q181+Q182</f>
        <v>42349</v>
      </c>
      <c r="R183" s="53">
        <f>R182+R181</f>
        <v>5971</v>
      </c>
      <c r="S183" s="25"/>
      <c r="T183" s="53">
        <f>Q183+R183</f>
        <v>48320</v>
      </c>
      <c r="U183" s="25"/>
      <c r="V183" s="5"/>
    </row>
    <row r="184" spans="1:22" x14ac:dyDescent="0.35">
      <c r="A184" s="24"/>
      <c r="B184" s="25" t="s">
        <v>66</v>
      </c>
      <c r="C184" s="25"/>
      <c r="D184" s="25"/>
      <c r="E184" s="25"/>
      <c r="F184" s="25"/>
      <c r="G184" s="25"/>
      <c r="H184" s="25"/>
      <c r="I184" s="25"/>
      <c r="J184" s="25"/>
      <c r="K184" s="25"/>
      <c r="L184" s="25"/>
      <c r="M184" s="25"/>
      <c r="N184" s="25"/>
      <c r="O184" s="25"/>
      <c r="P184" s="25"/>
      <c r="Q184" s="53">
        <f>Q180-Q183-R183</f>
        <v>111736.48000000001</v>
      </c>
      <c r="R184" s="40"/>
      <c r="S184" s="25"/>
      <c r="T184" s="53"/>
      <c r="U184" s="25"/>
      <c r="V184" s="5"/>
    </row>
    <row r="185" spans="1:22" ht="16" thickBot="1" x14ac:dyDescent="0.4">
      <c r="A185" s="24"/>
      <c r="B185" s="25"/>
      <c r="C185" s="25"/>
      <c r="D185" s="25"/>
      <c r="E185" s="25"/>
      <c r="F185" s="25"/>
      <c r="G185" s="25"/>
      <c r="H185" s="25"/>
      <c r="I185" s="25"/>
      <c r="J185" s="25"/>
      <c r="K185" s="25"/>
      <c r="L185" s="25"/>
      <c r="M185" s="25"/>
      <c r="N185" s="25"/>
      <c r="O185" s="25"/>
      <c r="P185" s="25"/>
      <c r="Q185" s="25"/>
      <c r="R185" s="25"/>
      <c r="S185" s="25"/>
      <c r="T185" s="61"/>
      <c r="U185" s="25"/>
      <c r="V185" s="5"/>
    </row>
    <row r="186" spans="1:22" x14ac:dyDescent="0.35">
      <c r="A186" s="2"/>
      <c r="B186" s="4"/>
      <c r="C186" s="4"/>
      <c r="D186" s="4"/>
      <c r="E186" s="4"/>
      <c r="F186" s="4"/>
      <c r="G186" s="4"/>
      <c r="H186" s="4"/>
      <c r="I186" s="4"/>
      <c r="J186" s="4"/>
      <c r="K186" s="4"/>
      <c r="L186" s="4"/>
      <c r="M186" s="4"/>
      <c r="N186" s="4"/>
      <c r="O186" s="4"/>
      <c r="P186" s="4"/>
      <c r="Q186" s="4"/>
      <c r="R186" s="4"/>
      <c r="S186" s="4"/>
      <c r="T186" s="50"/>
      <c r="U186" s="4"/>
      <c r="V186" s="5"/>
    </row>
    <row r="187" spans="1:22" x14ac:dyDescent="0.35">
      <c r="A187" s="6"/>
      <c r="B187" s="119" t="s">
        <v>67</v>
      </c>
      <c r="C187" s="8"/>
      <c r="D187" s="8"/>
      <c r="E187" s="8"/>
      <c r="F187" s="8"/>
      <c r="G187" s="8"/>
      <c r="H187" s="8"/>
      <c r="I187" s="8"/>
      <c r="J187" s="8"/>
      <c r="K187" s="8"/>
      <c r="L187" s="8"/>
      <c r="M187" s="8"/>
      <c r="N187" s="8"/>
      <c r="O187" s="8"/>
      <c r="P187" s="8"/>
      <c r="Q187" s="8"/>
      <c r="R187" s="8"/>
      <c r="S187" s="8"/>
      <c r="T187" s="65"/>
      <c r="U187" s="8"/>
      <c r="V187" s="5"/>
    </row>
    <row r="188" spans="1:22" x14ac:dyDescent="0.35">
      <c r="A188" s="24"/>
      <c r="B188" s="25" t="s">
        <v>68</v>
      </c>
      <c r="C188" s="25"/>
      <c r="D188" s="25"/>
      <c r="E188" s="25"/>
      <c r="F188" s="25"/>
      <c r="G188" s="25"/>
      <c r="H188" s="25"/>
      <c r="I188" s="25"/>
      <c r="J188" s="25"/>
      <c r="K188" s="25"/>
      <c r="L188" s="25"/>
      <c r="M188" s="25"/>
      <c r="N188" s="25"/>
      <c r="O188" s="25"/>
      <c r="P188" s="25"/>
      <c r="Q188" s="25"/>
      <c r="R188" s="25"/>
      <c r="S188" s="25"/>
      <c r="T188" s="59">
        <f>(T101+T103+T104+T105+T106+T107)/-(T108+T109)</f>
        <v>4.438186813186813</v>
      </c>
      <c r="U188" s="25" t="s">
        <v>122</v>
      </c>
      <c r="V188" s="5"/>
    </row>
    <row r="189" spans="1:22" x14ac:dyDescent="0.35">
      <c r="A189" s="24"/>
      <c r="B189" s="25" t="s">
        <v>69</v>
      </c>
      <c r="C189" s="25"/>
      <c r="D189" s="25"/>
      <c r="E189" s="25"/>
      <c r="F189" s="25"/>
      <c r="G189" s="25"/>
      <c r="H189" s="25"/>
      <c r="I189" s="25"/>
      <c r="J189" s="25"/>
      <c r="K189" s="25"/>
      <c r="L189" s="25"/>
      <c r="M189" s="25"/>
      <c r="N189" s="25"/>
      <c r="O189" s="25"/>
      <c r="P189" s="25"/>
      <c r="Q189" s="25"/>
      <c r="R189" s="25"/>
      <c r="S189" s="25"/>
      <c r="T189" s="66">
        <v>1.48</v>
      </c>
      <c r="U189" s="25" t="s">
        <v>122</v>
      </c>
      <c r="V189" s="5"/>
    </row>
    <row r="190" spans="1:22" x14ac:dyDescent="0.35">
      <c r="A190" s="24"/>
      <c r="B190" s="25" t="s">
        <v>70</v>
      </c>
      <c r="C190" s="25"/>
      <c r="D190" s="25"/>
      <c r="E190" s="25"/>
      <c r="F190" s="25"/>
      <c r="G190" s="25"/>
      <c r="H190" s="25"/>
      <c r="I190" s="25"/>
      <c r="J190" s="25"/>
      <c r="K190" s="25"/>
      <c r="L190" s="25"/>
      <c r="M190" s="25"/>
      <c r="N190" s="25"/>
      <c r="O190" s="25"/>
      <c r="P190" s="25"/>
      <c r="Q190" s="25"/>
      <c r="R190" s="25"/>
      <c r="S190" s="25"/>
      <c r="T190" s="59">
        <f>(T101+T103+T104+T105+T106+T107+T108+T109)/-(T110+T111)</f>
        <v>25.804123711340207</v>
      </c>
      <c r="U190" s="25" t="s">
        <v>122</v>
      </c>
      <c r="V190" s="5"/>
    </row>
    <row r="191" spans="1:22" x14ac:dyDescent="0.35">
      <c r="A191" s="24"/>
      <c r="B191" s="25" t="s">
        <v>71</v>
      </c>
      <c r="C191" s="25"/>
      <c r="D191" s="25"/>
      <c r="E191" s="25"/>
      <c r="F191" s="25"/>
      <c r="G191" s="25"/>
      <c r="H191" s="25"/>
      <c r="I191" s="25"/>
      <c r="J191" s="25"/>
      <c r="K191" s="25"/>
      <c r="L191" s="25"/>
      <c r="M191" s="25"/>
      <c r="N191" s="25"/>
      <c r="O191" s="25"/>
      <c r="P191" s="25"/>
      <c r="Q191" s="25"/>
      <c r="R191" s="25"/>
      <c r="S191" s="25"/>
      <c r="T191" s="66">
        <v>7.15</v>
      </c>
      <c r="U191" s="25" t="s">
        <v>122</v>
      </c>
      <c r="V191" s="5"/>
    </row>
    <row r="192" spans="1:22" x14ac:dyDescent="0.35">
      <c r="A192" s="24"/>
      <c r="B192" s="25" t="s">
        <v>232</v>
      </c>
      <c r="C192" s="25"/>
      <c r="D192" s="25"/>
      <c r="E192" s="25"/>
      <c r="F192" s="25"/>
      <c r="G192" s="25"/>
      <c r="H192" s="25"/>
      <c r="I192" s="25"/>
      <c r="J192" s="25"/>
      <c r="K192" s="25"/>
      <c r="L192" s="25"/>
      <c r="M192" s="25"/>
      <c r="N192" s="25"/>
      <c r="O192" s="25"/>
      <c r="P192" s="25"/>
      <c r="Q192" s="25"/>
      <c r="R192" s="25"/>
      <c r="S192" s="25"/>
      <c r="T192" s="59">
        <f>(T101+T103+T104+T105+T106+T107+T108+T109+T110+T111)/-(T112+T113)</f>
        <v>11.852216748768473</v>
      </c>
      <c r="U192" s="25" t="s">
        <v>122</v>
      </c>
      <c r="V192" s="5"/>
    </row>
    <row r="193" spans="1:22" x14ac:dyDescent="0.35">
      <c r="A193" s="24"/>
      <c r="B193" s="25" t="s">
        <v>233</v>
      </c>
      <c r="C193" s="25"/>
      <c r="D193" s="25"/>
      <c r="E193" s="25"/>
      <c r="F193" s="25"/>
      <c r="G193" s="25"/>
      <c r="H193" s="25"/>
      <c r="I193" s="25"/>
      <c r="J193" s="25"/>
      <c r="K193" s="25"/>
      <c r="L193" s="25"/>
      <c r="M193" s="25"/>
      <c r="N193" s="25"/>
      <c r="O193" s="25"/>
      <c r="P193" s="25"/>
      <c r="Q193" s="25"/>
      <c r="R193" s="25"/>
      <c r="S193" s="25"/>
      <c r="T193" s="66">
        <v>3.65</v>
      </c>
      <c r="U193" s="25" t="s">
        <v>122</v>
      </c>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24"/>
      <c r="B195" s="25"/>
      <c r="C195" s="25"/>
      <c r="D195" s="25"/>
      <c r="E195" s="25"/>
      <c r="F195" s="25"/>
      <c r="G195" s="25"/>
      <c r="H195" s="25"/>
      <c r="I195" s="25"/>
      <c r="J195" s="25"/>
      <c r="K195" s="25"/>
      <c r="L195" s="25"/>
      <c r="M195" s="25"/>
      <c r="N195" s="25"/>
      <c r="O195" s="25"/>
      <c r="P195" s="25"/>
      <c r="Q195" s="25"/>
      <c r="R195" s="25"/>
      <c r="S195" s="25"/>
      <c r="T195" s="25"/>
      <c r="U195" s="25"/>
      <c r="V195" s="5"/>
    </row>
    <row r="196" spans="1:22" x14ac:dyDescent="0.35">
      <c r="A196" s="6"/>
      <c r="B196" s="8"/>
      <c r="C196" s="8"/>
      <c r="D196" s="8"/>
      <c r="E196" s="8"/>
      <c r="F196" s="8"/>
      <c r="G196" s="8"/>
      <c r="H196" s="8"/>
      <c r="I196" s="8"/>
      <c r="J196" s="8"/>
      <c r="K196" s="8"/>
      <c r="L196" s="8"/>
      <c r="M196" s="8"/>
      <c r="N196" s="8"/>
      <c r="O196" s="8"/>
      <c r="P196" s="8"/>
      <c r="Q196" s="8"/>
      <c r="R196" s="8"/>
      <c r="S196" s="8"/>
      <c r="T196" s="8"/>
      <c r="U196" s="8"/>
      <c r="V196" s="5"/>
    </row>
    <row r="197" spans="1:22" ht="18" thickBot="1" x14ac:dyDescent="0.4">
      <c r="A197" s="101"/>
      <c r="B197" s="102" t="str">
        <f>B136</f>
        <v>PM10 INVESTOR REPORT QUARTER ENDING FEBRUARY 2010</v>
      </c>
      <c r="C197" s="166"/>
      <c r="D197" s="166"/>
      <c r="E197" s="166"/>
      <c r="F197" s="166"/>
      <c r="G197" s="166"/>
      <c r="H197" s="166"/>
      <c r="I197" s="166"/>
      <c r="J197" s="166"/>
      <c r="K197" s="166"/>
      <c r="L197" s="166"/>
      <c r="M197" s="166"/>
      <c r="N197" s="166"/>
      <c r="O197" s="166"/>
      <c r="P197" s="166"/>
      <c r="Q197" s="166"/>
      <c r="R197" s="166"/>
      <c r="S197" s="166"/>
      <c r="T197" s="166"/>
      <c r="U197" s="167"/>
      <c r="V197" s="5"/>
    </row>
    <row r="198" spans="1:22" x14ac:dyDescent="0.35">
      <c r="A198" s="67"/>
      <c r="B198" s="60" t="s">
        <v>72</v>
      </c>
      <c r="C198" s="68"/>
      <c r="D198" s="68"/>
      <c r="E198" s="68"/>
      <c r="F198" s="68"/>
      <c r="G198" s="69"/>
      <c r="H198" s="69"/>
      <c r="I198" s="69"/>
      <c r="J198" s="69"/>
      <c r="K198" s="69"/>
      <c r="L198" s="69"/>
      <c r="M198" s="69"/>
      <c r="N198" s="69"/>
      <c r="O198" s="69"/>
      <c r="P198" s="69"/>
      <c r="Q198" s="69"/>
      <c r="R198" s="70">
        <v>40235</v>
      </c>
      <c r="S198" s="4"/>
      <c r="T198" s="4"/>
      <c r="U198" s="4"/>
      <c r="V198" s="5"/>
    </row>
    <row r="199" spans="1:22" x14ac:dyDescent="0.35">
      <c r="A199" s="71"/>
      <c r="B199" s="72"/>
      <c r="C199" s="73"/>
      <c r="D199" s="73"/>
      <c r="E199" s="73"/>
      <c r="F199" s="73"/>
      <c r="G199" s="74"/>
      <c r="H199" s="74"/>
      <c r="I199" s="74"/>
      <c r="J199" s="74"/>
      <c r="K199" s="74"/>
      <c r="L199" s="74"/>
      <c r="M199" s="74"/>
      <c r="N199" s="74"/>
      <c r="O199" s="74"/>
      <c r="P199" s="74"/>
      <c r="Q199" s="74"/>
      <c r="R199" s="74"/>
      <c r="S199" s="8"/>
      <c r="T199" s="8"/>
      <c r="U199" s="8"/>
      <c r="V199" s="5"/>
    </row>
    <row r="200" spans="1:22" x14ac:dyDescent="0.35">
      <c r="A200" s="75"/>
      <c r="B200" s="76" t="s">
        <v>73</v>
      </c>
      <c r="C200" s="77"/>
      <c r="D200" s="77"/>
      <c r="E200" s="77"/>
      <c r="F200" s="77"/>
      <c r="G200" s="64"/>
      <c r="H200" s="64"/>
      <c r="I200" s="64"/>
      <c r="J200" s="64"/>
      <c r="K200" s="64"/>
      <c r="L200" s="64"/>
      <c r="M200" s="64"/>
      <c r="N200" s="64"/>
      <c r="O200" s="64"/>
      <c r="P200" s="64"/>
      <c r="Q200" s="64"/>
      <c r="R200" s="78">
        <v>5.3960000000000001E-2</v>
      </c>
      <c r="S200" s="25"/>
      <c r="T200" s="25"/>
      <c r="U200" s="25"/>
      <c r="V200" s="5"/>
    </row>
    <row r="201" spans="1:22" x14ac:dyDescent="0.35">
      <c r="A201" s="75"/>
      <c r="B201" s="76" t="s">
        <v>159</v>
      </c>
      <c r="C201" s="77"/>
      <c r="D201" s="77"/>
      <c r="E201" s="77"/>
      <c r="F201" s="77"/>
      <c r="G201" s="64"/>
      <c r="H201" s="64"/>
      <c r="I201" s="64"/>
      <c r="J201" s="64"/>
      <c r="K201" s="64"/>
      <c r="L201" s="64"/>
      <c r="M201" s="64"/>
      <c r="N201" s="64"/>
      <c r="O201" s="64"/>
      <c r="P201" s="64"/>
      <c r="Q201" s="64"/>
      <c r="R201" s="39">
        <v>4.7399999999999998E-2</v>
      </c>
      <c r="S201" s="25"/>
      <c r="T201" s="25"/>
      <c r="U201" s="25"/>
      <c r="V201" s="5"/>
    </row>
    <row r="202" spans="1:22" x14ac:dyDescent="0.35">
      <c r="A202" s="75"/>
      <c r="B202" s="76" t="s">
        <v>74</v>
      </c>
      <c r="C202" s="77"/>
      <c r="D202" s="77"/>
      <c r="E202" s="77"/>
      <c r="F202" s="77"/>
      <c r="G202" s="64"/>
      <c r="H202" s="64"/>
      <c r="I202" s="64"/>
      <c r="J202" s="64"/>
      <c r="K202" s="64"/>
      <c r="L202" s="64"/>
      <c r="M202" s="64"/>
      <c r="N202" s="64"/>
      <c r="O202" s="64"/>
      <c r="P202" s="64"/>
      <c r="Q202" s="64"/>
      <c r="R202" s="78">
        <f>R200-R201</f>
        <v>6.5600000000000033E-3</v>
      </c>
      <c r="S202" s="25"/>
      <c r="T202" s="25"/>
      <c r="U202" s="25"/>
      <c r="V202" s="5"/>
    </row>
    <row r="203" spans="1:22" x14ac:dyDescent="0.35">
      <c r="A203" s="75"/>
      <c r="B203" s="76" t="s">
        <v>75</v>
      </c>
      <c r="C203" s="77"/>
      <c r="D203" s="77"/>
      <c r="E203" s="77"/>
      <c r="F203" s="77"/>
      <c r="G203" s="64"/>
      <c r="H203" s="64"/>
      <c r="I203" s="64"/>
      <c r="J203" s="64"/>
      <c r="K203" s="64"/>
      <c r="L203" s="64"/>
      <c r="M203" s="64"/>
      <c r="N203" s="64"/>
      <c r="O203" s="64"/>
      <c r="P203" s="64"/>
      <c r="Q203" s="64"/>
      <c r="R203" s="78">
        <v>2.929E-2</v>
      </c>
      <c r="S203" s="25"/>
      <c r="T203" s="25"/>
      <c r="U203" s="25"/>
      <c r="V203" s="5"/>
    </row>
    <row r="204" spans="1:22" x14ac:dyDescent="0.35">
      <c r="A204" s="75"/>
      <c r="B204" s="76" t="s">
        <v>262</v>
      </c>
      <c r="C204" s="77"/>
      <c r="D204" s="77"/>
      <c r="E204" s="77"/>
      <c r="F204" s="77"/>
      <c r="G204" s="64"/>
      <c r="H204" s="64"/>
      <c r="I204" s="64"/>
      <c r="J204" s="64"/>
      <c r="K204" s="64"/>
      <c r="L204" s="64"/>
      <c r="M204" s="64"/>
      <c r="N204" s="64"/>
      <c r="O204" s="64"/>
      <c r="P204" s="64"/>
      <c r="Q204" s="64"/>
      <c r="R204" s="78">
        <f>T43</f>
        <v>8.276363761219702E-3</v>
      </c>
      <c r="S204" s="25"/>
      <c r="T204" s="25"/>
      <c r="U204" s="25"/>
      <c r="V204" s="5"/>
    </row>
    <row r="205" spans="1:22" x14ac:dyDescent="0.35">
      <c r="A205" s="75"/>
      <c r="B205" s="76" t="s">
        <v>76</v>
      </c>
      <c r="C205" s="77"/>
      <c r="D205" s="77"/>
      <c r="E205" s="77"/>
      <c r="F205" s="77"/>
      <c r="G205" s="64"/>
      <c r="H205" s="64"/>
      <c r="I205" s="64"/>
      <c r="J205" s="64"/>
      <c r="K205" s="64"/>
      <c r="L205" s="64"/>
      <c r="M205" s="64"/>
      <c r="N205" s="64"/>
      <c r="O205" s="64"/>
      <c r="P205" s="64"/>
      <c r="Q205" s="64"/>
      <c r="R205" s="78">
        <f>R203-R204</f>
        <v>2.1013636238780296E-2</v>
      </c>
      <c r="S205" s="25"/>
      <c r="T205" s="25"/>
      <c r="U205" s="25"/>
      <c r="V205" s="5"/>
    </row>
    <row r="206" spans="1:22" x14ac:dyDescent="0.35">
      <c r="A206" s="75"/>
      <c r="B206" s="76" t="s">
        <v>269</v>
      </c>
      <c r="C206" s="77"/>
      <c r="D206" s="77"/>
      <c r="E206" s="77"/>
      <c r="F206" s="77"/>
      <c r="G206" s="64"/>
      <c r="H206" s="64"/>
      <c r="I206" s="64"/>
      <c r="J206" s="64"/>
      <c r="K206" s="64"/>
      <c r="L206" s="64"/>
      <c r="M206" s="64"/>
      <c r="N206" s="64"/>
      <c r="O206" s="64"/>
      <c r="P206" s="64"/>
      <c r="Q206" s="64"/>
      <c r="R206" s="78">
        <f>+T101/L69</f>
        <v>9.4988620430795142E-3</v>
      </c>
      <c r="S206" s="25"/>
      <c r="T206" s="25"/>
      <c r="U206" s="25"/>
      <c r="V206" s="5"/>
    </row>
    <row r="207" spans="1:22" x14ac:dyDescent="0.35">
      <c r="A207" s="75"/>
      <c r="B207" s="76" t="s">
        <v>251</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252</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253</v>
      </c>
      <c r="C209" s="77"/>
      <c r="D209" s="77"/>
      <c r="E209" s="77"/>
      <c r="F209" s="77"/>
      <c r="G209" s="64"/>
      <c r="H209" s="64"/>
      <c r="I209" s="64"/>
      <c r="J209" s="64"/>
      <c r="K209" s="64"/>
      <c r="L209" s="64"/>
      <c r="M209" s="64"/>
      <c r="N209" s="64"/>
      <c r="O209" s="64"/>
      <c r="P209" s="64"/>
      <c r="Q209" s="64"/>
      <c r="R209" s="130">
        <v>51653</v>
      </c>
      <c r="S209" s="25"/>
      <c r="T209" s="25"/>
      <c r="U209" s="25"/>
      <c r="V209" s="5"/>
    </row>
    <row r="210" spans="1:22" x14ac:dyDescent="0.35">
      <c r="A210" s="75"/>
      <c r="B210" s="76" t="s">
        <v>77</v>
      </c>
      <c r="C210" s="77"/>
      <c r="D210" s="77"/>
      <c r="E210" s="77"/>
      <c r="F210" s="77"/>
      <c r="G210" s="64"/>
      <c r="H210" s="64"/>
      <c r="I210" s="64"/>
      <c r="J210" s="64"/>
      <c r="K210" s="64"/>
      <c r="L210" s="64"/>
      <c r="M210" s="64"/>
      <c r="N210" s="64"/>
      <c r="O210" s="64"/>
      <c r="P210" s="64"/>
      <c r="Q210" s="64"/>
      <c r="R210" s="134">
        <v>21.48</v>
      </c>
      <c r="S210" s="25" t="s">
        <v>117</v>
      </c>
      <c r="T210" s="25"/>
      <c r="U210" s="25"/>
      <c r="V210" s="5"/>
    </row>
    <row r="211" spans="1:22" x14ac:dyDescent="0.35">
      <c r="A211" s="75"/>
      <c r="B211" s="76" t="s">
        <v>78</v>
      </c>
      <c r="C211" s="77"/>
      <c r="D211" s="77"/>
      <c r="E211" s="77"/>
      <c r="F211" s="77"/>
      <c r="G211" s="64"/>
      <c r="H211" s="64"/>
      <c r="I211" s="64"/>
      <c r="J211" s="64"/>
      <c r="K211" s="64"/>
      <c r="L211" s="64"/>
      <c r="M211" s="64"/>
      <c r="N211" s="64"/>
      <c r="O211" s="64"/>
      <c r="P211" s="64"/>
      <c r="Q211" s="64"/>
      <c r="R211" s="134">
        <v>17.36</v>
      </c>
      <c r="S211" s="25" t="s">
        <v>117</v>
      </c>
      <c r="T211" s="25"/>
      <c r="U211" s="25"/>
      <c r="V211" s="5"/>
    </row>
    <row r="212" spans="1:22" x14ac:dyDescent="0.35">
      <c r="A212" s="75"/>
      <c r="B212" s="76" t="s">
        <v>79</v>
      </c>
      <c r="C212" s="77"/>
      <c r="D212" s="77"/>
      <c r="E212" s="77"/>
      <c r="F212" s="77"/>
      <c r="G212" s="64"/>
      <c r="H212" s="64"/>
      <c r="I212" s="64"/>
      <c r="J212" s="64"/>
      <c r="K212" s="64"/>
      <c r="L212" s="64"/>
      <c r="M212" s="64"/>
      <c r="N212" s="64"/>
      <c r="O212" s="64"/>
      <c r="P212" s="64"/>
      <c r="Q212" s="64"/>
      <c r="R212" s="78">
        <f>+N69/L69</f>
        <v>1.4116226511020111E-2</v>
      </c>
      <c r="S212" s="25"/>
      <c r="T212" s="25"/>
      <c r="U212" s="25"/>
      <c r="V212" s="5"/>
    </row>
    <row r="213" spans="1:22" x14ac:dyDescent="0.35">
      <c r="A213" s="75"/>
      <c r="B213" s="76" t="s">
        <v>80</v>
      </c>
      <c r="C213" s="77"/>
      <c r="D213" s="77"/>
      <c r="E213" s="77"/>
      <c r="F213" s="77"/>
      <c r="G213" s="64"/>
      <c r="H213" s="64"/>
      <c r="I213" s="64"/>
      <c r="J213" s="64"/>
      <c r="K213" s="64"/>
      <c r="L213" s="64"/>
      <c r="M213" s="64"/>
      <c r="N213" s="64"/>
      <c r="O213" s="64"/>
      <c r="P213" s="64"/>
      <c r="Q213" s="64"/>
      <c r="R213" s="78">
        <v>0.1608</v>
      </c>
      <c r="S213" s="25"/>
      <c r="T213" s="25"/>
      <c r="U213" s="25"/>
      <c r="V213" s="5"/>
    </row>
    <row r="214" spans="1:22" x14ac:dyDescent="0.35">
      <c r="A214" s="75"/>
      <c r="B214" s="76"/>
      <c r="C214" s="76"/>
      <c r="D214" s="76"/>
      <c r="E214" s="76"/>
      <c r="F214" s="76"/>
      <c r="G214" s="25"/>
      <c r="H214" s="25"/>
      <c r="I214" s="25"/>
      <c r="J214" s="25"/>
      <c r="K214" s="25"/>
      <c r="L214" s="25"/>
      <c r="M214" s="25"/>
      <c r="N214" s="25"/>
      <c r="O214" s="25"/>
      <c r="P214" s="25"/>
      <c r="Q214" s="25"/>
      <c r="R214" s="61"/>
      <c r="S214" s="25"/>
      <c r="T214" s="79"/>
      <c r="U214" s="25"/>
      <c r="V214" s="5"/>
    </row>
    <row r="215" spans="1:22" x14ac:dyDescent="0.35">
      <c r="A215" s="80"/>
      <c r="B215" s="14" t="s">
        <v>81</v>
      </c>
      <c r="C215" s="81"/>
      <c r="D215" s="81"/>
      <c r="E215" s="81"/>
      <c r="F215" s="82"/>
      <c r="G215" s="81"/>
      <c r="H215" s="17"/>
      <c r="I215" s="17"/>
      <c r="J215" s="17"/>
      <c r="K215" s="17"/>
      <c r="L215" s="17"/>
      <c r="M215" s="17"/>
      <c r="N215" s="17"/>
      <c r="O215" s="17"/>
      <c r="P215" s="17"/>
      <c r="Q215" s="17" t="s">
        <v>106</v>
      </c>
      <c r="R215" s="83" t="s">
        <v>113</v>
      </c>
      <c r="S215" s="8"/>
      <c r="T215" s="8"/>
      <c r="U215" s="8"/>
      <c r="V215" s="5"/>
    </row>
    <row r="216" spans="1:22" x14ac:dyDescent="0.35">
      <c r="A216" s="84"/>
      <c r="B216" s="76" t="s">
        <v>82</v>
      </c>
      <c r="C216" s="54"/>
      <c r="D216" s="54"/>
      <c r="E216" s="54"/>
      <c r="F216" s="25"/>
      <c r="G216" s="25"/>
      <c r="H216" s="30"/>
      <c r="I216" s="30"/>
      <c r="J216" s="30"/>
      <c r="K216" s="30"/>
      <c r="L216" s="30"/>
      <c r="M216" s="30"/>
      <c r="N216" s="30"/>
      <c r="O216" s="30"/>
      <c r="P216" s="30"/>
      <c r="Q216" s="30">
        <v>0</v>
      </c>
      <c r="R216" s="85">
        <v>0</v>
      </c>
      <c r="S216" s="25"/>
      <c r="T216" s="79"/>
      <c r="U216" s="86"/>
      <c r="V216" s="5"/>
    </row>
    <row r="217" spans="1:22" x14ac:dyDescent="0.35">
      <c r="A217" s="84"/>
      <c r="B217" s="76" t="s">
        <v>152</v>
      </c>
      <c r="C217" s="54"/>
      <c r="D217" s="54"/>
      <c r="E217" s="54"/>
      <c r="F217" s="25"/>
      <c r="G217" s="25"/>
      <c r="H217" s="30"/>
      <c r="I217" s="30"/>
      <c r="J217" s="30"/>
      <c r="K217" s="30"/>
      <c r="L217" s="30"/>
      <c r="M217" s="30"/>
      <c r="N217" s="30"/>
      <c r="O217" s="30"/>
      <c r="P217" s="30"/>
      <c r="Q217" s="153">
        <f>+P257</f>
        <v>116</v>
      </c>
      <c r="R217" s="85">
        <f>+R257</f>
        <v>17613</v>
      </c>
      <c r="S217" s="25"/>
      <c r="T217" s="79"/>
      <c r="U217" s="86"/>
      <c r="V217" s="5"/>
    </row>
    <row r="218" spans="1:22" x14ac:dyDescent="0.35">
      <c r="A218" s="84"/>
      <c r="B218" s="76" t="s">
        <v>83</v>
      </c>
      <c r="C218" s="54"/>
      <c r="D218" s="54"/>
      <c r="E218" s="54"/>
      <c r="F218" s="25"/>
      <c r="G218" s="25"/>
      <c r="H218" s="30"/>
      <c r="I218" s="30"/>
      <c r="J218" s="30"/>
      <c r="K218" s="30"/>
      <c r="L218" s="30"/>
      <c r="M218" s="30"/>
      <c r="N218" s="30"/>
      <c r="O218" s="30"/>
      <c r="P218" s="30"/>
      <c r="Q218" s="30">
        <v>0</v>
      </c>
      <c r="R218" s="85">
        <v>0</v>
      </c>
      <c r="S218" s="25"/>
      <c r="T218" s="79"/>
      <c r="U218" s="86"/>
      <c r="V218" s="5"/>
    </row>
    <row r="219" spans="1:22" x14ac:dyDescent="0.35">
      <c r="A219" s="84"/>
      <c r="B219" s="122" t="s">
        <v>84</v>
      </c>
      <c r="C219" s="54"/>
      <c r="D219" s="54"/>
      <c r="E219" s="54"/>
      <c r="F219" s="25"/>
      <c r="G219" s="25"/>
      <c r="H219" s="25"/>
      <c r="I219" s="25"/>
      <c r="J219" s="25"/>
      <c r="K219" s="25"/>
      <c r="L219" s="25"/>
      <c r="M219" s="25"/>
      <c r="N219" s="25"/>
      <c r="O219" s="25"/>
      <c r="P219" s="25"/>
      <c r="Q219" s="25"/>
      <c r="R219" s="85">
        <v>0</v>
      </c>
      <c r="S219" s="25"/>
      <c r="T219" s="79"/>
      <c r="U219" s="86"/>
      <c r="V219" s="5"/>
    </row>
    <row r="220" spans="1:22" x14ac:dyDescent="0.35">
      <c r="A220" s="84"/>
      <c r="B220" s="122" t="s">
        <v>85</v>
      </c>
      <c r="C220" s="54"/>
      <c r="D220" s="54"/>
      <c r="E220" s="54"/>
      <c r="F220" s="25"/>
      <c r="G220" s="25"/>
      <c r="H220" s="25"/>
      <c r="I220" s="25"/>
      <c r="J220" s="25"/>
      <c r="K220" s="25"/>
      <c r="L220" s="25"/>
      <c r="M220" s="25"/>
      <c r="N220" s="25"/>
      <c r="O220" s="25"/>
      <c r="P220" s="25"/>
      <c r="Q220" s="25"/>
      <c r="R220" s="62" t="s">
        <v>114</v>
      </c>
      <c r="S220" s="25"/>
      <c r="T220" s="79"/>
      <c r="U220" s="86"/>
      <c r="V220" s="5"/>
    </row>
    <row r="221" spans="1:22" x14ac:dyDescent="0.35">
      <c r="A221" s="87"/>
      <c r="B221" s="122" t="s">
        <v>86</v>
      </c>
      <c r="C221" s="76"/>
      <c r="D221" s="76"/>
      <c r="E221" s="76"/>
      <c r="F221" s="76"/>
      <c r="G221" s="25"/>
      <c r="H221" s="25"/>
      <c r="I221" s="25"/>
      <c r="J221" s="25"/>
      <c r="K221" s="25"/>
      <c r="L221" s="25"/>
      <c r="M221" s="25"/>
      <c r="N221" s="25"/>
      <c r="O221" s="25"/>
      <c r="P221" s="25"/>
      <c r="Q221" s="25"/>
      <c r="R221" s="85"/>
      <c r="S221" s="25"/>
      <c r="T221" s="79"/>
      <c r="U221" s="88"/>
      <c r="V221" s="5"/>
    </row>
    <row r="222" spans="1:22" x14ac:dyDescent="0.35">
      <c r="A222" s="87"/>
      <c r="B222" s="132" t="s">
        <v>87</v>
      </c>
      <c r="C222" s="76"/>
      <c r="D222" s="76"/>
      <c r="E222" s="76"/>
      <c r="F222" s="76"/>
      <c r="G222" s="25"/>
      <c r="H222" s="25"/>
      <c r="I222" s="25"/>
      <c r="J222" s="25"/>
      <c r="K222" s="25"/>
      <c r="L222" s="25"/>
      <c r="M222" s="25"/>
      <c r="N222" s="25"/>
      <c r="O222" s="25"/>
      <c r="P222" s="25"/>
      <c r="Q222" s="30"/>
      <c r="R222" s="85">
        <f>+T166</f>
        <v>1194</v>
      </c>
      <c r="S222" s="25"/>
      <c r="T222" s="79"/>
      <c r="U222" s="88"/>
      <c r="V222" s="5"/>
    </row>
    <row r="223" spans="1:22" x14ac:dyDescent="0.35">
      <c r="A223" s="84"/>
      <c r="B223" s="76" t="s">
        <v>88</v>
      </c>
      <c r="C223" s="54"/>
      <c r="D223" s="54"/>
      <c r="E223" s="54"/>
      <c r="F223" s="54"/>
      <c r="G223" s="25"/>
      <c r="H223" s="25"/>
      <c r="I223" s="25"/>
      <c r="J223" s="25"/>
      <c r="K223" s="25"/>
      <c r="L223" s="25"/>
      <c r="M223" s="25"/>
      <c r="N223" s="25"/>
      <c r="O223" s="25"/>
      <c r="P223" s="25"/>
      <c r="Q223" s="85"/>
      <c r="R223" s="85">
        <f>'Nov 09'!R223+R222</f>
        <v>3419</v>
      </c>
      <c r="S223" s="25"/>
      <c r="T223" s="79"/>
      <c r="U223" s="88"/>
      <c r="V223" s="5"/>
    </row>
    <row r="224" spans="1:22" x14ac:dyDescent="0.35">
      <c r="A224" s="87"/>
      <c r="B224" s="122" t="s">
        <v>295</v>
      </c>
      <c r="C224" s="76"/>
      <c r="D224" s="76"/>
      <c r="E224" s="76"/>
      <c r="F224" s="76"/>
      <c r="G224" s="25"/>
      <c r="H224" s="25"/>
      <c r="I224" s="25"/>
      <c r="J224" s="25"/>
      <c r="K224" s="25"/>
      <c r="L224" s="25"/>
      <c r="M224" s="25"/>
      <c r="N224" s="25"/>
      <c r="O224" s="25"/>
      <c r="P224" s="25"/>
      <c r="Q224" s="30"/>
      <c r="R224" s="85"/>
      <c r="S224" s="25"/>
      <c r="T224" s="79"/>
      <c r="U224" s="88"/>
      <c r="V224" s="5"/>
    </row>
    <row r="225" spans="1:23" x14ac:dyDescent="0.35">
      <c r="A225" s="87"/>
      <c r="B225" s="76" t="s">
        <v>292</v>
      </c>
      <c r="C225" s="76"/>
      <c r="D225" s="76"/>
      <c r="E225" s="76"/>
      <c r="F225" s="76"/>
      <c r="G225" s="25"/>
      <c r="H225" s="25"/>
      <c r="I225" s="25"/>
      <c r="J225" s="25"/>
      <c r="K225" s="25"/>
      <c r="L225" s="25"/>
      <c r="M225" s="25"/>
      <c r="N225" s="25"/>
      <c r="O225" s="25"/>
      <c r="P225" s="25"/>
      <c r="Q225" s="30">
        <v>0</v>
      </c>
      <c r="R225" s="85">
        <v>0</v>
      </c>
      <c r="S225" s="25"/>
      <c r="T225" s="79"/>
      <c r="U225" s="88"/>
      <c r="V225" s="5"/>
    </row>
    <row r="226" spans="1:23" x14ac:dyDescent="0.35">
      <c r="A226" s="84"/>
      <c r="B226" s="76" t="s">
        <v>90</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76" t="s">
        <v>91</v>
      </c>
      <c r="C227" s="89"/>
      <c r="D227" s="89"/>
      <c r="E227" s="89"/>
      <c r="F227" s="90"/>
      <c r="G227" s="25"/>
      <c r="H227" s="25"/>
      <c r="I227" s="25"/>
      <c r="J227" s="25"/>
      <c r="K227" s="25"/>
      <c r="L227" s="25"/>
      <c r="M227" s="25"/>
      <c r="N227" s="25"/>
      <c r="O227" s="25"/>
      <c r="P227" s="25"/>
      <c r="Q227" s="25"/>
      <c r="R227" s="62">
        <v>0</v>
      </c>
      <c r="S227" s="25"/>
      <c r="T227" s="79"/>
      <c r="U227" s="88"/>
      <c r="V227" s="5"/>
    </row>
    <row r="228" spans="1:23" x14ac:dyDescent="0.35">
      <c r="A228" s="84"/>
      <c r="B228" s="122" t="s">
        <v>260</v>
      </c>
      <c r="C228" s="89"/>
      <c r="D228" s="89"/>
      <c r="E228" s="89"/>
      <c r="F228" s="90"/>
      <c r="G228" s="25"/>
      <c r="H228" s="25"/>
      <c r="I228" s="25"/>
      <c r="J228" s="25"/>
      <c r="K228" s="25"/>
      <c r="L228" s="25"/>
      <c r="M228" s="25"/>
      <c r="N228" s="25"/>
      <c r="O228" s="25"/>
      <c r="P228" s="25"/>
      <c r="Q228" s="25"/>
      <c r="R228" s="91"/>
      <c r="S228" s="25"/>
      <c r="T228" s="79"/>
      <c r="U228" s="88"/>
      <c r="V228" s="5"/>
    </row>
    <row r="229" spans="1:23" x14ac:dyDescent="0.35">
      <c r="A229" s="84"/>
      <c r="B229" s="76" t="s">
        <v>292</v>
      </c>
      <c r="C229" s="89"/>
      <c r="D229" s="89"/>
      <c r="E229" s="89"/>
      <c r="F229" s="90"/>
      <c r="G229" s="25"/>
      <c r="H229" s="25"/>
      <c r="I229" s="25"/>
      <c r="J229" s="25"/>
      <c r="K229" s="25"/>
      <c r="L229" s="25"/>
      <c r="M229" s="25"/>
      <c r="N229" s="25"/>
      <c r="O229" s="25"/>
      <c r="P229" s="25"/>
      <c r="Q229" s="30">
        <v>13</v>
      </c>
      <c r="R229" s="85">
        <v>2718</v>
      </c>
      <c r="S229" s="25"/>
      <c r="T229" s="79"/>
      <c r="U229" s="88"/>
      <c r="V229" s="5"/>
    </row>
    <row r="230" spans="1:23" x14ac:dyDescent="0.35">
      <c r="A230" s="84"/>
      <c r="B230" s="76" t="s">
        <v>261</v>
      </c>
      <c r="C230" s="89"/>
      <c r="D230" s="89"/>
      <c r="E230" s="89"/>
      <c r="F230" s="90"/>
      <c r="G230" s="25"/>
      <c r="H230" s="25"/>
      <c r="I230" s="25"/>
      <c r="J230" s="25"/>
      <c r="K230" s="25"/>
      <c r="L230" s="25"/>
      <c r="M230" s="25"/>
      <c r="N230" s="25"/>
      <c r="O230" s="25"/>
      <c r="P230" s="25"/>
      <c r="Q230" s="25"/>
      <c r="R230" s="62">
        <v>13.22</v>
      </c>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ht="17.5" x14ac:dyDescent="0.35">
      <c r="A233" s="84"/>
      <c r="B233" s="150" t="s">
        <v>178</v>
      </c>
      <c r="C233" s="89"/>
      <c r="D233" s="89"/>
      <c r="E233" s="89"/>
      <c r="F233" s="90"/>
      <c r="G233" s="25"/>
      <c r="H233" s="25"/>
      <c r="I233" s="25"/>
      <c r="J233" s="25"/>
      <c r="K233" s="25"/>
      <c r="L233" s="25"/>
      <c r="M233" s="25"/>
      <c r="N233" s="151" t="s">
        <v>177</v>
      </c>
      <c r="O233" s="25"/>
      <c r="P233" s="25"/>
      <c r="Q233" s="25"/>
      <c r="R233" s="91"/>
      <c r="S233" s="25"/>
      <c r="T233" s="79"/>
      <c r="U233" s="88"/>
      <c r="V233" s="5"/>
    </row>
    <row r="234" spans="1:23" x14ac:dyDescent="0.35">
      <c r="A234" s="84"/>
      <c r="B234" s="76"/>
      <c r="C234" s="89"/>
      <c r="D234" s="89"/>
      <c r="E234" s="89"/>
      <c r="F234" s="90"/>
      <c r="G234" s="25"/>
      <c r="H234" s="25"/>
      <c r="I234" s="25"/>
      <c r="J234" s="25"/>
      <c r="K234" s="25"/>
      <c r="L234" s="25"/>
      <c r="M234" s="25"/>
      <c r="N234" s="25"/>
      <c r="O234" s="25"/>
      <c r="P234" s="25"/>
      <c r="Q234" s="25"/>
      <c r="R234" s="91"/>
      <c r="S234" s="25"/>
      <c r="T234" s="79"/>
      <c r="U234" s="88"/>
      <c r="V234" s="5"/>
    </row>
    <row r="235" spans="1:23" x14ac:dyDescent="0.35">
      <c r="A235" s="6"/>
      <c r="B235" s="14" t="s">
        <v>171</v>
      </c>
      <c r="C235" s="81"/>
      <c r="D235" s="81"/>
      <c r="E235" s="81"/>
      <c r="F235" s="82"/>
      <c r="G235" s="81"/>
      <c r="H235" s="17"/>
      <c r="I235" s="17"/>
      <c r="J235" s="17"/>
      <c r="K235" s="17"/>
      <c r="L235" s="17"/>
      <c r="M235" s="17"/>
      <c r="N235" s="17"/>
      <c r="O235" s="17"/>
      <c r="P235" s="83" t="s">
        <v>106</v>
      </c>
      <c r="Q235" s="17" t="s">
        <v>107</v>
      </c>
      <c r="R235" s="83" t="s">
        <v>115</v>
      </c>
      <c r="S235" s="17" t="s">
        <v>107</v>
      </c>
      <c r="T235" s="8"/>
      <c r="U235" s="92"/>
      <c r="V235" s="5"/>
    </row>
    <row r="236" spans="1:23" x14ac:dyDescent="0.35">
      <c r="A236" s="24"/>
      <c r="B236" s="54" t="s">
        <v>92</v>
      </c>
      <c r="C236" s="93"/>
      <c r="D236" s="93"/>
      <c r="E236" s="93"/>
      <c r="F236" s="25"/>
      <c r="G236" s="93"/>
      <c r="H236" s="93"/>
      <c r="I236" s="93"/>
      <c r="J236" s="93"/>
      <c r="K236" s="93"/>
      <c r="L236" s="93"/>
      <c r="M236" s="93"/>
      <c r="N236" s="93"/>
      <c r="O236" s="93"/>
      <c r="P236" s="54">
        <v>3495</v>
      </c>
      <c r="Q236" s="94">
        <f t="shared" ref="Q236:Q243" si="1">P236/$P$245</f>
        <v>0.98478444632290785</v>
      </c>
      <c r="R236" s="53">
        <v>469423</v>
      </c>
      <c r="S236" s="133">
        <f t="shared" ref="S236:S243" si="2">R236/$R$245</f>
        <v>0.98000421711019392</v>
      </c>
      <c r="T236" s="79"/>
      <c r="U236" s="88"/>
      <c r="V236" s="5"/>
    </row>
    <row r="237" spans="1:23" x14ac:dyDescent="0.35">
      <c r="A237" s="24"/>
      <c r="B237" s="54" t="s">
        <v>93</v>
      </c>
      <c r="C237" s="93"/>
      <c r="D237" s="93"/>
      <c r="E237" s="93"/>
      <c r="F237" s="25"/>
      <c r="G237" s="94"/>
      <c r="H237" s="93"/>
      <c r="I237" s="93"/>
      <c r="J237" s="93"/>
      <c r="K237" s="93"/>
      <c r="L237" s="93"/>
      <c r="M237" s="93"/>
      <c r="N237" s="93"/>
      <c r="O237" s="93"/>
      <c r="P237" s="54">
        <v>34</v>
      </c>
      <c r="Q237" s="94">
        <f t="shared" si="1"/>
        <v>9.5801634263172723E-3</v>
      </c>
      <c r="R237" s="53">
        <v>7415</v>
      </c>
      <c r="S237" s="133">
        <f t="shared" si="2"/>
        <v>1.5480134697004808E-2</v>
      </c>
      <c r="T237" s="79"/>
      <c r="U237" s="88"/>
      <c r="V237" s="5"/>
      <c r="W237" s="109"/>
    </row>
    <row r="238" spans="1:23" x14ac:dyDescent="0.35">
      <c r="A238" s="24"/>
      <c r="B238" s="54" t="s">
        <v>94</v>
      </c>
      <c r="C238" s="93"/>
      <c r="D238" s="93"/>
      <c r="E238" s="93"/>
      <c r="F238" s="25"/>
      <c r="G238" s="94"/>
      <c r="H238" s="93"/>
      <c r="I238" s="93"/>
      <c r="J238" s="93"/>
      <c r="K238" s="93"/>
      <c r="L238" s="93"/>
      <c r="M238" s="93"/>
      <c r="N238" s="93"/>
      <c r="O238" s="93"/>
      <c r="P238" s="54">
        <v>15</v>
      </c>
      <c r="Q238" s="94">
        <f t="shared" si="1"/>
        <v>4.22654268808115E-3</v>
      </c>
      <c r="R238" s="53">
        <v>1617</v>
      </c>
      <c r="S238" s="133">
        <f t="shared" si="2"/>
        <v>3.375775833453375E-3</v>
      </c>
      <c r="T238" s="79"/>
      <c r="U238" s="88"/>
      <c r="V238" s="5"/>
    </row>
    <row r="239" spans="1:23" x14ac:dyDescent="0.35">
      <c r="A239" s="24"/>
      <c r="B239" s="54" t="s">
        <v>164</v>
      </c>
      <c r="C239" s="93"/>
      <c r="D239" s="93"/>
      <c r="E239" s="93"/>
      <c r="F239" s="25"/>
      <c r="G239" s="94"/>
      <c r="H239" s="93"/>
      <c r="I239" s="93"/>
      <c r="J239" s="93"/>
      <c r="K239" s="93"/>
      <c r="L239" s="93"/>
      <c r="M239" s="93"/>
      <c r="N239" s="93"/>
      <c r="O239" s="93"/>
      <c r="P239" s="54">
        <v>3</v>
      </c>
      <c r="Q239" s="94">
        <f t="shared" si="1"/>
        <v>8.4530853761622987E-4</v>
      </c>
      <c r="R239" s="53">
        <v>349</v>
      </c>
      <c r="S239" s="133">
        <f t="shared" si="2"/>
        <v>7.2859973152456881E-4</v>
      </c>
      <c r="T239" s="79"/>
      <c r="U239" s="88"/>
      <c r="V239" s="5"/>
      <c r="W239" s="109"/>
    </row>
    <row r="240" spans="1:23" x14ac:dyDescent="0.35">
      <c r="A240" s="24"/>
      <c r="B240" s="54" t="s">
        <v>165</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row>
    <row r="241" spans="1:23" x14ac:dyDescent="0.35">
      <c r="A241" s="24"/>
      <c r="B241" s="54" t="s">
        <v>166</v>
      </c>
      <c r="C241" s="93"/>
      <c r="D241" s="93"/>
      <c r="E241" s="93"/>
      <c r="F241" s="25"/>
      <c r="G241" s="94"/>
      <c r="H241" s="93"/>
      <c r="I241" s="93"/>
      <c r="J241" s="93"/>
      <c r="K241" s="93"/>
      <c r="L241" s="93"/>
      <c r="M241" s="93"/>
      <c r="N241" s="93"/>
      <c r="O241" s="93"/>
      <c r="P241" s="54">
        <v>1</v>
      </c>
      <c r="Q241" s="94">
        <f t="shared" si="1"/>
        <v>2.8176951253874329E-4</v>
      </c>
      <c r="R241" s="53">
        <v>156</v>
      </c>
      <c r="S241" s="133">
        <f t="shared" si="2"/>
        <v>3.2567781695654079E-4</v>
      </c>
      <c r="T241" s="79"/>
      <c r="U241" s="88"/>
      <c r="V241" s="5"/>
      <c r="W241" s="109"/>
    </row>
    <row r="242" spans="1:23" x14ac:dyDescent="0.35">
      <c r="A242" s="24"/>
      <c r="B242" s="54" t="s">
        <v>167</v>
      </c>
      <c r="C242" s="93"/>
      <c r="D242" s="93"/>
      <c r="E242" s="93"/>
      <c r="F242" s="25"/>
      <c r="G242" s="94"/>
      <c r="H242" s="93"/>
      <c r="I242" s="93"/>
      <c r="J242" s="93"/>
      <c r="K242" s="93"/>
      <c r="L242" s="93"/>
      <c r="M242" s="93"/>
      <c r="N242" s="93"/>
      <c r="O242" s="93"/>
      <c r="P242" s="54">
        <v>1</v>
      </c>
      <c r="Q242" s="94">
        <f t="shared" si="1"/>
        <v>2.8176951253874329E-4</v>
      </c>
      <c r="R242" s="53">
        <v>41</v>
      </c>
      <c r="S242" s="133">
        <f t="shared" si="2"/>
        <v>8.5594810866783163E-5</v>
      </c>
      <c r="T242" s="79"/>
      <c r="U242" s="88"/>
      <c r="V242" s="5"/>
    </row>
    <row r="243" spans="1:23" x14ac:dyDescent="0.35">
      <c r="A243" s="24"/>
      <c r="B243" s="54" t="s">
        <v>168</v>
      </c>
      <c r="C243" s="93"/>
      <c r="D243" s="93"/>
      <c r="E243" s="93"/>
      <c r="F243" s="25"/>
      <c r="G243" s="94"/>
      <c r="H243" s="93"/>
      <c r="I243" s="93"/>
      <c r="J243" s="93"/>
      <c r="K243" s="93"/>
      <c r="L243" s="93"/>
      <c r="M243" s="93"/>
      <c r="N243" s="93"/>
      <c r="O243" s="93"/>
      <c r="P243" s="54">
        <v>0</v>
      </c>
      <c r="Q243" s="94">
        <f t="shared" si="1"/>
        <v>0</v>
      </c>
      <c r="R243" s="53">
        <v>0</v>
      </c>
      <c r="S243" s="133">
        <f t="shared" si="2"/>
        <v>0</v>
      </c>
      <c r="T243" s="79"/>
      <c r="U243" s="88"/>
      <c r="V243" s="5"/>
      <c r="W243" s="109"/>
    </row>
    <row r="244" spans="1:23" x14ac:dyDescent="0.35">
      <c r="A244" s="24"/>
      <c r="B244" s="54"/>
      <c r="C244" s="93"/>
      <c r="D244" s="93"/>
      <c r="E244" s="93"/>
      <c r="F244" s="25"/>
      <c r="G244" s="94"/>
      <c r="H244" s="93"/>
      <c r="I244" s="93"/>
      <c r="J244" s="93"/>
      <c r="K244" s="93"/>
      <c r="L244" s="93"/>
      <c r="M244" s="93"/>
      <c r="N244" s="93"/>
      <c r="O244" s="93"/>
      <c r="P244" s="54"/>
      <c r="Q244" s="94"/>
      <c r="R244" s="53"/>
      <c r="S244" s="133"/>
      <c r="T244" s="79"/>
      <c r="U244" s="88"/>
      <c r="V244" s="5"/>
    </row>
    <row r="245" spans="1:23" x14ac:dyDescent="0.35">
      <c r="A245" s="24"/>
      <c r="B245" s="25"/>
      <c r="C245" s="25"/>
      <c r="D245" s="25"/>
      <c r="E245" s="25"/>
      <c r="F245" s="25"/>
      <c r="G245" s="25"/>
      <c r="H245" s="95"/>
      <c r="I245" s="95"/>
      <c r="J245" s="95"/>
      <c r="K245" s="95"/>
      <c r="L245" s="95"/>
      <c r="M245" s="95"/>
      <c r="N245" s="95"/>
      <c r="O245" s="95"/>
      <c r="P245" s="34">
        <f>SUM(P236:P244)</f>
        <v>3549</v>
      </c>
      <c r="Q245" s="133">
        <f>SUM(Q236:Q244)</f>
        <v>1</v>
      </c>
      <c r="R245" s="53">
        <f>SUM(R236:R244)</f>
        <v>479001</v>
      </c>
      <c r="S245" s="133">
        <f>SUM(S236:S244)</f>
        <v>1</v>
      </c>
      <c r="T245" s="25"/>
      <c r="U245" s="25"/>
      <c r="V245" s="5"/>
    </row>
    <row r="246" spans="1:23" x14ac:dyDescent="0.35">
      <c r="A246" s="24"/>
      <c r="B246" s="25"/>
      <c r="C246" s="25"/>
      <c r="D246" s="25"/>
      <c r="E246" s="25"/>
      <c r="F246" s="25"/>
      <c r="G246" s="25"/>
      <c r="H246" s="95"/>
      <c r="I246" s="95"/>
      <c r="J246" s="95"/>
      <c r="K246" s="95"/>
      <c r="L246" s="95"/>
      <c r="M246" s="95"/>
      <c r="N246" s="95"/>
      <c r="O246" s="95"/>
      <c r="P246" s="34"/>
      <c r="Q246" s="133"/>
      <c r="R246" s="53"/>
      <c r="S246" s="133"/>
      <c r="T246" s="25"/>
      <c r="U246" s="25"/>
      <c r="V246" s="5"/>
    </row>
    <row r="247" spans="1:23" x14ac:dyDescent="0.35">
      <c r="A247" s="142"/>
      <c r="B247" s="14" t="s">
        <v>275</v>
      </c>
      <c r="C247" s="81"/>
      <c r="D247" s="81"/>
      <c r="E247" s="81"/>
      <c r="F247" s="82"/>
      <c r="G247" s="81"/>
      <c r="H247" s="17"/>
      <c r="I247" s="17"/>
      <c r="J247" s="17"/>
      <c r="K247" s="17"/>
      <c r="L247" s="17"/>
      <c r="M247" s="17"/>
      <c r="N247" s="17"/>
      <c r="O247" s="17"/>
      <c r="P247" s="83" t="s">
        <v>106</v>
      </c>
      <c r="Q247" s="17" t="s">
        <v>107</v>
      </c>
      <c r="R247" s="83" t="s">
        <v>115</v>
      </c>
      <c r="S247" s="17" t="s">
        <v>107</v>
      </c>
      <c r="T247" s="140"/>
      <c r="U247" s="141"/>
      <c r="V247" s="5"/>
    </row>
    <row r="248" spans="1:23" x14ac:dyDescent="0.35">
      <c r="A248" s="24"/>
      <c r="B248" s="54" t="s">
        <v>92</v>
      </c>
      <c r="C248" s="93"/>
      <c r="D248" s="93"/>
      <c r="E248" s="93"/>
      <c r="F248" s="25"/>
      <c r="G248" s="93"/>
      <c r="H248" s="93"/>
      <c r="I248" s="93"/>
      <c r="J248" s="93"/>
      <c r="K248" s="93"/>
      <c r="L248" s="93"/>
      <c r="M248" s="93"/>
      <c r="N248" s="93"/>
      <c r="O248" s="93"/>
      <c r="P248" s="54">
        <v>46</v>
      </c>
      <c r="Q248" s="94">
        <f t="shared" ref="Q248:Q255" si="3">P248/$P$257</f>
        <v>0.39655172413793105</v>
      </c>
      <c r="R248" s="53">
        <v>6974</v>
      </c>
      <c r="S248" s="133">
        <f t="shared" ref="S248:S255" si="4">R248/$R$257</f>
        <v>0.39595753136887524</v>
      </c>
      <c r="T248" s="25"/>
      <c r="U248" s="25"/>
      <c r="V248" s="5"/>
    </row>
    <row r="249" spans="1:23" x14ac:dyDescent="0.35">
      <c r="A249" s="24"/>
      <c r="B249" s="54" t="s">
        <v>93</v>
      </c>
      <c r="C249" s="93"/>
      <c r="D249" s="93"/>
      <c r="E249" s="93"/>
      <c r="F249" s="25"/>
      <c r="G249" s="94"/>
      <c r="H249" s="93"/>
      <c r="I249" s="93"/>
      <c r="J249" s="93"/>
      <c r="K249" s="93"/>
      <c r="L249" s="93"/>
      <c r="M249" s="93"/>
      <c r="N249" s="93"/>
      <c r="O249" s="93"/>
      <c r="P249" s="54">
        <v>11</v>
      </c>
      <c r="Q249" s="94">
        <f t="shared" si="3"/>
        <v>9.4827586206896547E-2</v>
      </c>
      <c r="R249" s="53">
        <v>1532</v>
      </c>
      <c r="S249" s="133">
        <f t="shared" si="4"/>
        <v>8.698120706296486E-2</v>
      </c>
      <c r="T249" s="25"/>
      <c r="U249" s="25"/>
      <c r="V249" s="5"/>
    </row>
    <row r="250" spans="1:23" x14ac:dyDescent="0.35">
      <c r="A250" s="24"/>
      <c r="B250" s="54" t="s">
        <v>94</v>
      </c>
      <c r="C250" s="93"/>
      <c r="D250" s="93"/>
      <c r="E250" s="93"/>
      <c r="F250" s="25"/>
      <c r="G250" s="94"/>
      <c r="H250" s="93"/>
      <c r="I250" s="93"/>
      <c r="J250" s="93"/>
      <c r="K250" s="93"/>
      <c r="L250" s="93"/>
      <c r="M250" s="93"/>
      <c r="N250" s="93"/>
      <c r="O250" s="93"/>
      <c r="P250" s="54">
        <v>9</v>
      </c>
      <c r="Q250" s="94">
        <f t="shared" si="3"/>
        <v>7.7586206896551727E-2</v>
      </c>
      <c r="R250" s="53">
        <v>1014</v>
      </c>
      <c r="S250" s="133">
        <f t="shared" si="4"/>
        <v>5.7571112246636011E-2</v>
      </c>
      <c r="T250" s="25"/>
      <c r="U250" s="25"/>
      <c r="V250" s="5"/>
    </row>
    <row r="251" spans="1:23" x14ac:dyDescent="0.35">
      <c r="A251" s="24"/>
      <c r="B251" s="54" t="s">
        <v>164</v>
      </c>
      <c r="C251" s="93"/>
      <c r="D251" s="93"/>
      <c r="E251" s="93"/>
      <c r="F251" s="25"/>
      <c r="G251" s="94"/>
      <c r="H251" s="93"/>
      <c r="I251" s="93"/>
      <c r="J251" s="93"/>
      <c r="K251" s="93"/>
      <c r="L251" s="93"/>
      <c r="M251" s="93"/>
      <c r="N251" s="93"/>
      <c r="O251" s="93"/>
      <c r="P251" s="54">
        <v>4</v>
      </c>
      <c r="Q251" s="94">
        <f t="shared" si="3"/>
        <v>3.4482758620689655E-2</v>
      </c>
      <c r="R251" s="53">
        <v>572</v>
      </c>
      <c r="S251" s="133">
        <f t="shared" si="4"/>
        <v>3.2476012036563903E-2</v>
      </c>
      <c r="T251" s="25"/>
      <c r="U251" s="25"/>
      <c r="V251" s="5"/>
    </row>
    <row r="252" spans="1:23" x14ac:dyDescent="0.35">
      <c r="A252" s="24"/>
      <c r="B252" s="54" t="s">
        <v>165</v>
      </c>
      <c r="C252" s="93"/>
      <c r="D252" s="93"/>
      <c r="E252" s="93"/>
      <c r="F252" s="25"/>
      <c r="G252" s="94"/>
      <c r="H252" s="93"/>
      <c r="I252" s="93"/>
      <c r="J252" s="93"/>
      <c r="K252" s="93"/>
      <c r="L252" s="93"/>
      <c r="M252" s="93"/>
      <c r="N252" s="93"/>
      <c r="O252" s="93"/>
      <c r="P252" s="54">
        <v>4</v>
      </c>
      <c r="Q252" s="94">
        <f t="shared" si="3"/>
        <v>3.4482758620689655E-2</v>
      </c>
      <c r="R252" s="53">
        <v>538</v>
      </c>
      <c r="S252" s="133">
        <f t="shared" si="4"/>
        <v>3.0545619712712201E-2</v>
      </c>
      <c r="T252" s="25"/>
      <c r="U252" s="25"/>
      <c r="V252" s="5"/>
    </row>
    <row r="253" spans="1:23" x14ac:dyDescent="0.35">
      <c r="A253" s="24"/>
      <c r="B253" s="54" t="s">
        <v>166</v>
      </c>
      <c r="C253" s="93"/>
      <c r="D253" s="93"/>
      <c r="E253" s="93"/>
      <c r="F253" s="25"/>
      <c r="G253" s="94"/>
      <c r="H253" s="93"/>
      <c r="I253" s="93"/>
      <c r="J253" s="93"/>
      <c r="K253" s="93"/>
      <c r="L253" s="93"/>
      <c r="M253" s="93"/>
      <c r="N253" s="93"/>
      <c r="O253" s="93"/>
      <c r="P253" s="54">
        <v>7</v>
      </c>
      <c r="Q253" s="94">
        <f t="shared" si="3"/>
        <v>6.0344827586206899E-2</v>
      </c>
      <c r="R253" s="53">
        <v>1245</v>
      </c>
      <c r="S253" s="133">
        <f t="shared" si="4"/>
        <v>7.0686424799863742E-2</v>
      </c>
      <c r="T253" s="25"/>
      <c r="U253" s="25"/>
      <c r="V253" s="5"/>
    </row>
    <row r="254" spans="1:23" x14ac:dyDescent="0.35">
      <c r="A254" s="24"/>
      <c r="B254" s="54" t="s">
        <v>167</v>
      </c>
      <c r="C254" s="93"/>
      <c r="D254" s="93"/>
      <c r="E254" s="93"/>
      <c r="F254" s="25"/>
      <c r="G254" s="94"/>
      <c r="H254" s="93"/>
      <c r="I254" s="93"/>
      <c r="J254" s="93"/>
      <c r="K254" s="93"/>
      <c r="L254" s="93"/>
      <c r="M254" s="93"/>
      <c r="N254" s="93"/>
      <c r="O254" s="93"/>
      <c r="P254" s="54">
        <v>13</v>
      </c>
      <c r="Q254" s="94">
        <f t="shared" si="3"/>
        <v>0.11206896551724138</v>
      </c>
      <c r="R254" s="53">
        <v>2054</v>
      </c>
      <c r="S254" s="133">
        <f t="shared" si="4"/>
        <v>0.11661840685857038</v>
      </c>
      <c r="T254" s="25"/>
      <c r="U254" s="25"/>
      <c r="V254" s="5"/>
    </row>
    <row r="255" spans="1:23" x14ac:dyDescent="0.35">
      <c r="A255" s="24"/>
      <c r="B255" s="54" t="s">
        <v>168</v>
      </c>
      <c r="C255" s="93"/>
      <c r="D255" s="93"/>
      <c r="E255" s="93"/>
      <c r="F255" s="25"/>
      <c r="G255" s="94"/>
      <c r="H255" s="93"/>
      <c r="I255" s="93"/>
      <c r="J255" s="93"/>
      <c r="K255" s="93"/>
      <c r="L255" s="93"/>
      <c r="M255" s="93"/>
      <c r="N255" s="93"/>
      <c r="O255" s="93"/>
      <c r="P255" s="54">
        <v>22</v>
      </c>
      <c r="Q255" s="94">
        <f t="shared" si="3"/>
        <v>0.18965517241379309</v>
      </c>
      <c r="R255" s="53">
        <v>3684</v>
      </c>
      <c r="S255" s="133">
        <f t="shared" si="4"/>
        <v>0.20916368591381365</v>
      </c>
      <c r="T255" s="25"/>
      <c r="U255" s="25"/>
      <c r="V255" s="5"/>
    </row>
    <row r="256" spans="1:23" x14ac:dyDescent="0.35">
      <c r="A256" s="24"/>
      <c r="B256" s="54"/>
      <c r="C256" s="93"/>
      <c r="D256" s="93"/>
      <c r="E256" s="93"/>
      <c r="F256" s="25"/>
      <c r="G256" s="94"/>
      <c r="H256" s="93"/>
      <c r="I256" s="93"/>
      <c r="J256" s="93"/>
      <c r="K256" s="93"/>
      <c r="L256" s="93"/>
      <c r="M256" s="93"/>
      <c r="N256" s="93"/>
      <c r="O256" s="93"/>
      <c r="P256" s="54"/>
      <c r="Q256" s="94"/>
      <c r="R256" s="53"/>
      <c r="S256" s="133"/>
      <c r="T256" s="25"/>
      <c r="U256" s="25"/>
      <c r="V256" s="5"/>
    </row>
    <row r="257" spans="1:22" x14ac:dyDescent="0.35">
      <c r="A257" s="24"/>
      <c r="B257" s="25"/>
      <c r="C257" s="25"/>
      <c r="D257" s="25"/>
      <c r="E257" s="25"/>
      <c r="F257" s="25"/>
      <c r="G257" s="25"/>
      <c r="H257" s="95"/>
      <c r="I257" s="95"/>
      <c r="J257" s="95"/>
      <c r="K257" s="95"/>
      <c r="L257" s="95"/>
      <c r="M257" s="95"/>
      <c r="N257" s="95"/>
      <c r="O257" s="95"/>
      <c r="P257" s="34">
        <f>SUM(P248:P256)</f>
        <v>116</v>
      </c>
      <c r="Q257" s="133">
        <f>SUM(Q248:Q256)</f>
        <v>1</v>
      </c>
      <c r="R257" s="53">
        <f>SUM(R248:R256)</f>
        <v>17613</v>
      </c>
      <c r="S257" s="133">
        <f>SUM(S248:S256)</f>
        <v>1</v>
      </c>
      <c r="T257" s="25"/>
      <c r="U257" s="25"/>
      <c r="V257" s="5"/>
    </row>
    <row r="258" spans="1:22" x14ac:dyDescent="0.35">
      <c r="A258" s="24"/>
      <c r="B258" s="25"/>
      <c r="C258" s="25"/>
      <c r="D258" s="25"/>
      <c r="E258" s="25"/>
      <c r="F258" s="25"/>
      <c r="G258" s="25"/>
      <c r="H258" s="95"/>
      <c r="I258" s="95"/>
      <c r="J258" s="95"/>
      <c r="K258" s="95"/>
      <c r="L258" s="95"/>
      <c r="M258" s="95"/>
      <c r="N258" s="95"/>
      <c r="O258" s="95"/>
      <c r="P258" s="34"/>
      <c r="Q258" s="133"/>
      <c r="R258" s="53"/>
      <c r="S258" s="133"/>
      <c r="T258" s="25"/>
      <c r="U258" s="25"/>
      <c r="V258" s="5"/>
    </row>
    <row r="259" spans="1:22" x14ac:dyDescent="0.35">
      <c r="A259" s="142"/>
      <c r="B259" s="14" t="s">
        <v>173</v>
      </c>
      <c r="C259" s="140"/>
      <c r="D259" s="140"/>
      <c r="E259" s="140"/>
      <c r="F259" s="140"/>
      <c r="G259" s="140"/>
      <c r="H259" s="146"/>
      <c r="I259" s="146"/>
      <c r="J259" s="146"/>
      <c r="K259" s="146"/>
      <c r="L259" s="146"/>
      <c r="M259" s="146"/>
      <c r="N259" s="146"/>
      <c r="O259" s="146"/>
      <c r="P259" s="83" t="s">
        <v>106</v>
      </c>
      <c r="Q259" s="17" t="s">
        <v>107</v>
      </c>
      <c r="R259" s="83" t="s">
        <v>115</v>
      </c>
      <c r="S259" s="17" t="s">
        <v>107</v>
      </c>
      <c r="T259" s="140"/>
      <c r="U259" s="141"/>
      <c r="V259" s="5"/>
    </row>
    <row r="260" spans="1:22" x14ac:dyDescent="0.35">
      <c r="A260" s="24"/>
      <c r="B260" s="54" t="s">
        <v>92</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93</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94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164</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165</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166</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167</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t="s">
        <v>168</v>
      </c>
      <c r="C267" s="25"/>
      <c r="D267" s="25"/>
      <c r="E267" s="25"/>
      <c r="F267" s="25"/>
      <c r="G267" s="25"/>
      <c r="H267" s="95"/>
      <c r="I267" s="95"/>
      <c r="J267" s="95"/>
      <c r="K267" s="95"/>
      <c r="L267" s="95"/>
      <c r="M267" s="95"/>
      <c r="N267" s="95"/>
      <c r="O267" s="95"/>
      <c r="P267" s="54">
        <v>0</v>
      </c>
      <c r="Q267" s="94">
        <v>0</v>
      </c>
      <c r="R267" s="53">
        <v>0</v>
      </c>
      <c r="S267" s="133">
        <v>0</v>
      </c>
      <c r="T267" s="25"/>
      <c r="U267" s="25"/>
      <c r="V267" s="5"/>
    </row>
    <row r="268" spans="1:22" x14ac:dyDescent="0.35">
      <c r="A268" s="24"/>
      <c r="B268" s="54"/>
      <c r="C268" s="25"/>
      <c r="D268" s="25"/>
      <c r="E268" s="25"/>
      <c r="F268" s="25"/>
      <c r="G268" s="25"/>
      <c r="H268" s="95"/>
      <c r="I268" s="95"/>
      <c r="J268" s="95"/>
      <c r="K268" s="95"/>
      <c r="L268" s="95"/>
      <c r="M268" s="95"/>
      <c r="N268" s="95"/>
      <c r="O268" s="95"/>
      <c r="P268" s="54"/>
      <c r="Q268" s="94"/>
      <c r="R268" s="53"/>
      <c r="S268" s="133"/>
      <c r="T268" s="25"/>
      <c r="U268" s="25"/>
      <c r="V268" s="5"/>
    </row>
    <row r="269" spans="1:22" x14ac:dyDescent="0.35">
      <c r="A269" s="24"/>
      <c r="B269" s="25" t="s">
        <v>121</v>
      </c>
      <c r="C269" s="25"/>
      <c r="D269" s="25"/>
      <c r="E269" s="25"/>
      <c r="F269" s="25"/>
      <c r="G269" s="25"/>
      <c r="H269" s="95"/>
      <c r="I269" s="95"/>
      <c r="J269" s="95"/>
      <c r="K269" s="95"/>
      <c r="L269" s="95"/>
      <c r="M269" s="95"/>
      <c r="N269" s="95"/>
      <c r="O269" s="95"/>
      <c r="P269" s="34">
        <f>SUM(P260:P267)</f>
        <v>0</v>
      </c>
      <c r="Q269" s="94">
        <f>SUM(Q260:Q267)</f>
        <v>0</v>
      </c>
      <c r="R269" s="53">
        <f>SUM(R260:R267)</f>
        <v>0</v>
      </c>
      <c r="S269" s="133">
        <f>SUM(S260:S267)</f>
        <v>0</v>
      </c>
      <c r="T269" s="25"/>
      <c r="U269" s="25"/>
      <c r="V269" s="5"/>
    </row>
    <row r="270" spans="1:22" x14ac:dyDescent="0.35">
      <c r="A270" s="24"/>
      <c r="B270" s="25"/>
      <c r="C270" s="25"/>
      <c r="D270" s="25"/>
      <c r="E270" s="25"/>
      <c r="F270" s="25"/>
      <c r="G270" s="25"/>
      <c r="H270" s="95"/>
      <c r="I270" s="95"/>
      <c r="J270" s="95"/>
      <c r="K270" s="95"/>
      <c r="L270" s="95"/>
      <c r="M270" s="95"/>
      <c r="N270" s="95"/>
      <c r="O270" s="95"/>
      <c r="P270" s="34"/>
      <c r="Q270" s="133"/>
      <c r="R270" s="53"/>
      <c r="S270" s="133"/>
      <c r="T270" s="25"/>
      <c r="U270" s="25"/>
      <c r="V270" s="5"/>
    </row>
    <row r="271" spans="1:22" x14ac:dyDescent="0.35">
      <c r="A271" s="24"/>
      <c r="B271" s="143" t="s">
        <v>174</v>
      </c>
      <c r="C271" s="25"/>
      <c r="D271" s="25"/>
      <c r="E271" s="25"/>
      <c r="F271" s="25"/>
      <c r="G271" s="25"/>
      <c r="H271" s="95"/>
      <c r="I271" s="95"/>
      <c r="J271" s="95"/>
      <c r="K271" s="95"/>
      <c r="L271" s="95"/>
      <c r="M271" s="95"/>
      <c r="N271" s="95"/>
      <c r="O271" s="95"/>
      <c r="P271" s="162">
        <f>P269+P257+P245</f>
        <v>3665</v>
      </c>
      <c r="Q271" s="144"/>
      <c r="R271" s="145">
        <f>+R269+R257+R245</f>
        <v>496614</v>
      </c>
      <c r="S271" s="144"/>
      <c r="T271" s="25"/>
      <c r="U271" s="25"/>
      <c r="V271" s="5"/>
    </row>
    <row r="272" spans="1:22" x14ac:dyDescent="0.35">
      <c r="A272" s="24"/>
      <c r="B272" s="25"/>
      <c r="C272" s="25"/>
      <c r="D272" s="25"/>
      <c r="E272" s="25"/>
      <c r="F272" s="25"/>
      <c r="G272" s="25"/>
      <c r="H272" s="95"/>
      <c r="I272" s="95"/>
      <c r="J272" s="95"/>
      <c r="K272" s="95"/>
      <c r="L272" s="95"/>
      <c r="M272" s="95"/>
      <c r="N272" s="95"/>
      <c r="O272" s="95"/>
      <c r="P272" s="95"/>
      <c r="Q272" s="95"/>
      <c r="R272" s="53"/>
      <c r="S272" s="95"/>
      <c r="T272" s="25"/>
      <c r="U272" s="25"/>
      <c r="V272" s="5"/>
    </row>
    <row r="273" spans="1:22" x14ac:dyDescent="0.35">
      <c r="A273" s="6"/>
      <c r="B273" s="8"/>
      <c r="C273" s="8"/>
      <c r="D273" s="8"/>
      <c r="E273" s="8"/>
      <c r="F273" s="8"/>
      <c r="G273" s="8"/>
      <c r="H273" s="96"/>
      <c r="I273" s="96"/>
      <c r="J273" s="96"/>
      <c r="K273" s="96"/>
      <c r="L273" s="96"/>
      <c r="M273" s="96"/>
      <c r="N273" s="96"/>
      <c r="O273" s="96"/>
      <c r="P273" s="96"/>
      <c r="Q273" s="96"/>
      <c r="R273" s="97"/>
      <c r="S273" s="96"/>
      <c r="T273" s="8"/>
      <c r="U273" s="8"/>
      <c r="V273" s="5"/>
    </row>
    <row r="274" spans="1:22" x14ac:dyDescent="0.35">
      <c r="A274" s="168"/>
      <c r="B274" s="14" t="s">
        <v>95</v>
      </c>
      <c r="C274" s="15"/>
      <c r="D274" s="15"/>
      <c r="E274" s="15"/>
      <c r="F274" s="17" t="s">
        <v>101</v>
      </c>
      <c r="G274" s="15"/>
      <c r="H274" s="14" t="s">
        <v>103</v>
      </c>
      <c r="I274" s="163"/>
      <c r="J274" s="163"/>
      <c r="K274" s="163"/>
      <c r="L274" s="163"/>
      <c r="M274" s="163"/>
      <c r="N274" s="163"/>
      <c r="O274" s="163"/>
      <c r="P274" s="163"/>
      <c r="Q274" s="163"/>
      <c r="R274" s="163"/>
      <c r="S274" s="163"/>
      <c r="T274" s="163"/>
      <c r="U274" s="163"/>
      <c r="V274" s="5"/>
    </row>
    <row r="275" spans="1:22" x14ac:dyDescent="0.35">
      <c r="A275" s="168"/>
      <c r="B275" s="163"/>
      <c r="C275" s="8"/>
      <c r="D275" s="8"/>
      <c r="E275" s="8"/>
      <c r="F275" s="8"/>
      <c r="G275" s="8"/>
      <c r="H275" s="8"/>
      <c r="I275" s="163"/>
      <c r="J275" s="163"/>
      <c r="K275" s="163"/>
      <c r="L275" s="163"/>
      <c r="M275" s="163"/>
      <c r="N275" s="163"/>
      <c r="O275" s="163"/>
      <c r="P275" s="163"/>
      <c r="Q275" s="163"/>
      <c r="R275" s="163"/>
      <c r="S275" s="163"/>
      <c r="T275" s="163"/>
      <c r="U275" s="163"/>
      <c r="V275" s="5"/>
    </row>
    <row r="276" spans="1:22" x14ac:dyDescent="0.35">
      <c r="A276" s="168"/>
      <c r="B276" s="13" t="s">
        <v>96</v>
      </c>
      <c r="C276" s="13"/>
      <c r="D276" s="13"/>
      <c r="E276" s="13"/>
      <c r="F276" s="131" t="s">
        <v>155</v>
      </c>
      <c r="G276" s="13"/>
      <c r="H276" s="13" t="s">
        <v>160</v>
      </c>
      <c r="I276" s="163"/>
      <c r="J276" s="163"/>
      <c r="K276" s="163"/>
      <c r="L276" s="163"/>
      <c r="M276" s="163"/>
      <c r="N276" s="163"/>
      <c r="O276" s="163"/>
      <c r="P276" s="163"/>
      <c r="Q276" s="163"/>
      <c r="R276" s="163"/>
      <c r="S276" s="163"/>
      <c r="T276" s="163"/>
      <c r="U276" s="163"/>
      <c r="V276" s="5"/>
    </row>
    <row r="277" spans="1:22" x14ac:dyDescent="0.35">
      <c r="A277" s="168"/>
      <c r="B277" s="13" t="s">
        <v>277</v>
      </c>
      <c r="C277" s="13"/>
      <c r="D277" s="13"/>
      <c r="E277" s="13"/>
      <c r="F277" s="131" t="s">
        <v>278</v>
      </c>
      <c r="G277" s="13"/>
      <c r="H277" s="13" t="s">
        <v>279</v>
      </c>
      <c r="I277" s="163"/>
      <c r="J277" s="163"/>
      <c r="K277" s="163"/>
      <c r="L277" s="163"/>
      <c r="M277" s="163"/>
      <c r="N277" s="163"/>
      <c r="O277" s="163"/>
      <c r="P277" s="163"/>
      <c r="Q277" s="163"/>
      <c r="R277" s="163"/>
      <c r="S277" s="163"/>
      <c r="T277" s="163"/>
      <c r="U277" s="163"/>
      <c r="V277" s="5"/>
    </row>
    <row r="278" spans="1:22" x14ac:dyDescent="0.35">
      <c r="A278" s="168"/>
      <c r="B278" s="13" t="s">
        <v>97</v>
      </c>
      <c r="C278" s="13"/>
      <c r="D278" s="13"/>
      <c r="E278" s="13"/>
      <c r="F278" s="131" t="s">
        <v>154</v>
      </c>
      <c r="G278" s="13"/>
      <c r="H278" s="13" t="s">
        <v>161</v>
      </c>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x14ac:dyDescent="0.35">
      <c r="A280" s="168"/>
      <c r="B280" s="13"/>
      <c r="C280" s="13"/>
      <c r="D280" s="13"/>
      <c r="E280" s="13"/>
      <c r="F280" s="13"/>
      <c r="G280" s="99"/>
      <c r="H280" s="163"/>
      <c r="I280" s="163"/>
      <c r="J280" s="163"/>
      <c r="K280" s="163"/>
      <c r="L280" s="163"/>
      <c r="M280" s="163"/>
      <c r="N280" s="163"/>
      <c r="O280" s="163"/>
      <c r="P280" s="163"/>
      <c r="Q280" s="163"/>
      <c r="R280" s="163"/>
      <c r="S280" s="163"/>
      <c r="T280" s="163"/>
      <c r="U280" s="163"/>
      <c r="V280" s="5"/>
    </row>
    <row r="281" spans="1:22" ht="18" thickBot="1" x14ac:dyDescent="0.4">
      <c r="A281" s="168"/>
      <c r="B281" s="49" t="str">
        <f>B197</f>
        <v>PM10 INVESTOR REPORT QUARTER ENDING FEBRUARY 2010</v>
      </c>
      <c r="C281" s="13"/>
      <c r="D281" s="13"/>
      <c r="E281" s="13"/>
      <c r="F281" s="13"/>
      <c r="G281" s="99"/>
      <c r="H281" s="163"/>
      <c r="I281" s="163"/>
      <c r="J281" s="163"/>
      <c r="K281" s="163"/>
      <c r="L281" s="163"/>
      <c r="M281" s="163"/>
      <c r="N281" s="163"/>
      <c r="O281" s="163"/>
      <c r="P281" s="163"/>
      <c r="Q281" s="163"/>
      <c r="R281" s="163"/>
      <c r="S281" s="163"/>
      <c r="T281" s="163"/>
      <c r="U281" s="163"/>
      <c r="V281" s="5"/>
    </row>
    <row r="282" spans="1:22" x14ac:dyDescent="0.35">
      <c r="A282" s="100"/>
      <c r="B282" s="100"/>
      <c r="C282" s="100"/>
      <c r="D282" s="100"/>
      <c r="E282" s="100"/>
      <c r="F282" s="100"/>
      <c r="G282" s="100"/>
      <c r="H282" s="100"/>
      <c r="I282" s="100"/>
      <c r="J282" s="100"/>
      <c r="K282" s="100"/>
      <c r="L282" s="100"/>
      <c r="M282" s="100"/>
      <c r="N282" s="100"/>
      <c r="O282" s="100"/>
      <c r="P282" s="100"/>
      <c r="Q282" s="100"/>
      <c r="R282" s="100"/>
      <c r="S282" s="100"/>
      <c r="T282" s="100"/>
      <c r="U282" s="100"/>
    </row>
  </sheetData>
  <phoneticPr fontId="0" type="noConversion"/>
  <hyperlinks>
    <hyperlink ref="J9" r:id="rId1" xr:uid="{00000000-0004-0000-1000-000000000000}"/>
    <hyperlink ref="N233" r:id="rId2" xr:uid="{00000000-0004-0000-1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7"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89CB31"/>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0.65339999999999998</v>
      </c>
      <c r="R16" s="222" t="s">
        <v>147</v>
      </c>
      <c r="S16" s="221">
        <v>0.34660000000000002</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40347</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5"/>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84" t="s">
        <v>223</v>
      </c>
      <c r="C25" s="285"/>
      <c r="D25" s="280" t="s">
        <v>258</v>
      </c>
      <c r="E25" s="280"/>
      <c r="F25" s="280" t="s">
        <v>150</v>
      </c>
      <c r="G25" s="280"/>
      <c r="H25" s="280" t="s">
        <v>150</v>
      </c>
      <c r="I25" s="280"/>
      <c r="J25" s="280" t="s">
        <v>175</v>
      </c>
      <c r="K25" s="280"/>
      <c r="L25" s="280" t="s">
        <v>175</v>
      </c>
      <c r="M25" s="280"/>
      <c r="N25" s="280" t="s">
        <v>151</v>
      </c>
      <c r="O25" s="280"/>
      <c r="P25" s="280" t="s">
        <v>151</v>
      </c>
      <c r="Q25" s="285"/>
      <c r="R25" s="280"/>
      <c r="S25" s="281"/>
      <c r="T25" s="281"/>
      <c r="U25" s="282"/>
      <c r="V25" s="5"/>
    </row>
    <row r="26" spans="1:22" x14ac:dyDescent="0.35">
      <c r="A26" s="283"/>
      <c r="B26" s="286" t="s">
        <v>9</v>
      </c>
      <c r="C26" s="285"/>
      <c r="D26" s="285" t="s">
        <v>256</v>
      </c>
      <c r="E26" s="285"/>
      <c r="F26" s="285" t="s">
        <v>148</v>
      </c>
      <c r="G26" s="285"/>
      <c r="H26" s="285" t="s">
        <v>148</v>
      </c>
      <c r="I26" s="285"/>
      <c r="J26" s="285" t="s">
        <v>198</v>
      </c>
      <c r="K26" s="285"/>
      <c r="L26" s="285" t="s">
        <v>198</v>
      </c>
      <c r="M26" s="285"/>
      <c r="N26" s="285" t="s">
        <v>149</v>
      </c>
      <c r="O26" s="285"/>
      <c r="P26" s="285" t="s">
        <v>149</v>
      </c>
      <c r="Q26" s="285"/>
      <c r="R26" s="280"/>
      <c r="S26" s="281"/>
      <c r="T26" s="281"/>
      <c r="U26" s="282"/>
      <c r="V26" s="5"/>
    </row>
    <row r="27" spans="1:22" x14ac:dyDescent="0.35">
      <c r="A27" s="278"/>
      <c r="B27" s="286" t="s">
        <v>224</v>
      </c>
      <c r="C27" s="280"/>
      <c r="D27" s="285" t="s">
        <v>257</v>
      </c>
      <c r="E27" s="285"/>
      <c r="F27" s="285" t="s">
        <v>150</v>
      </c>
      <c r="G27" s="285"/>
      <c r="H27" s="285" t="s">
        <v>150</v>
      </c>
      <c r="I27" s="285"/>
      <c r="J27" s="285" t="s">
        <v>175</v>
      </c>
      <c r="K27" s="285"/>
      <c r="L27" s="285" t="s">
        <v>175</v>
      </c>
      <c r="M27" s="285"/>
      <c r="N27" s="285" t="s">
        <v>151</v>
      </c>
      <c r="O27" s="285"/>
      <c r="P27" s="285" t="s">
        <v>151</v>
      </c>
      <c r="Q27" s="280"/>
      <c r="R27" s="287"/>
      <c r="S27" s="281"/>
      <c r="T27" s="281"/>
      <c r="U27" s="282"/>
      <c r="V27" s="5"/>
    </row>
    <row r="28" spans="1:22" x14ac:dyDescent="0.35">
      <c r="A28" s="278"/>
      <c r="B28" s="288" t="s">
        <v>225</v>
      </c>
      <c r="C28" s="280"/>
      <c r="D28" s="285" t="s">
        <v>258</v>
      </c>
      <c r="E28" s="285"/>
      <c r="F28" s="285" t="s">
        <v>150</v>
      </c>
      <c r="G28" s="285"/>
      <c r="H28" s="285" t="s">
        <v>150</v>
      </c>
      <c r="I28" s="285"/>
      <c r="J28" s="285" t="s">
        <v>175</v>
      </c>
      <c r="K28" s="285"/>
      <c r="L28" s="285" t="s">
        <v>175</v>
      </c>
      <c r="M28" s="285"/>
      <c r="N28" s="285" t="s">
        <v>151</v>
      </c>
      <c r="O28" s="285"/>
      <c r="P28" s="285"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221983.96</v>
      </c>
      <c r="E32" s="289"/>
      <c r="F32" s="290">
        <v>105000</v>
      </c>
      <c r="G32" s="290"/>
      <c r="H32" s="295">
        <v>222000</v>
      </c>
      <c r="I32" s="290"/>
      <c r="J32" s="290">
        <v>31000</v>
      </c>
      <c r="K32" s="290"/>
      <c r="L32" s="295">
        <v>19500</v>
      </c>
      <c r="M32" s="290"/>
      <c r="N32" s="296">
        <v>51500</v>
      </c>
      <c r="O32" s="290"/>
      <c r="P32" s="295">
        <v>27500</v>
      </c>
      <c r="Q32" s="290"/>
      <c r="R32" s="290"/>
      <c r="S32" s="291"/>
      <c r="T32" s="290"/>
      <c r="U32" s="292"/>
      <c r="V32" s="5"/>
    </row>
    <row r="33" spans="1:22" x14ac:dyDescent="0.35">
      <c r="A33" s="278"/>
      <c r="B33" s="286" t="s">
        <v>141</v>
      </c>
      <c r="C33" s="289"/>
      <c r="D33" s="299">
        <f>D37*D31</f>
        <v>214687.66</v>
      </c>
      <c r="E33" s="293"/>
      <c r="F33" s="297">
        <f>F37*F31</f>
        <v>105000</v>
      </c>
      <c r="G33" s="297"/>
      <c r="H33" s="300">
        <f>H31*H37</f>
        <v>222000</v>
      </c>
      <c r="I33" s="297"/>
      <c r="J33" s="297">
        <f>J31*J37</f>
        <v>31000</v>
      </c>
      <c r="K33" s="297"/>
      <c r="L33" s="300">
        <f>L31*L37</f>
        <v>19500</v>
      </c>
      <c r="M33" s="297"/>
      <c r="N33" s="297">
        <f>N31*N37</f>
        <v>51500</v>
      </c>
      <c r="O33" s="297"/>
      <c r="P33" s="300">
        <f>P31*P37</f>
        <v>27500</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301">
        <f>SUM(C34:P34)</f>
        <v>1000353</v>
      </c>
      <c r="U34" s="292"/>
      <c r="V34" s="5"/>
    </row>
    <row r="35" spans="1:22" x14ac:dyDescent="0.35">
      <c r="A35" s="283"/>
      <c r="B35" s="279" t="s">
        <v>297</v>
      </c>
      <c r="C35" s="302"/>
      <c r="D35" s="290">
        <f>D34*D38</f>
        <v>127357.44474560001</v>
      </c>
      <c r="E35" s="289"/>
      <c r="F35" s="290">
        <f>+F36</f>
        <v>105000</v>
      </c>
      <c r="G35" s="290"/>
      <c r="H35" s="290">
        <f>+H36</f>
        <v>150000</v>
      </c>
      <c r="I35" s="290"/>
      <c r="J35" s="290">
        <f>+J36</f>
        <v>31000</v>
      </c>
      <c r="K35" s="290"/>
      <c r="L35" s="290">
        <f>+L36</f>
        <v>13176</v>
      </c>
      <c r="M35" s="290"/>
      <c r="N35" s="290">
        <f>+N36</f>
        <v>51500</v>
      </c>
      <c r="O35" s="290"/>
      <c r="P35" s="290">
        <f>+P36</f>
        <v>18581</v>
      </c>
      <c r="Q35" s="290"/>
      <c r="R35" s="290"/>
      <c r="S35" s="291"/>
      <c r="T35" s="301">
        <f>SUM(C35:P35)</f>
        <v>496614.44474559999</v>
      </c>
      <c r="U35" s="292"/>
      <c r="V35" s="5"/>
    </row>
    <row r="36" spans="1:22" x14ac:dyDescent="0.35">
      <c r="A36" s="283"/>
      <c r="B36" s="286" t="s">
        <v>298</v>
      </c>
      <c r="C36" s="302"/>
      <c r="D36" s="297">
        <f>D37*D34</f>
        <v>123171.3849776</v>
      </c>
      <c r="E36" s="293"/>
      <c r="F36" s="297">
        <f>F37*F34</f>
        <v>105000</v>
      </c>
      <c r="G36" s="297"/>
      <c r="H36" s="297">
        <f>+H34*H37</f>
        <v>150000</v>
      </c>
      <c r="I36" s="297"/>
      <c r="J36" s="297">
        <f>+J34*J37</f>
        <v>31000</v>
      </c>
      <c r="K36" s="297"/>
      <c r="L36" s="297">
        <f>+L34*L37</f>
        <v>13176</v>
      </c>
      <c r="M36" s="297"/>
      <c r="N36" s="297">
        <f>+N34*N37</f>
        <v>51500</v>
      </c>
      <c r="O36" s="297"/>
      <c r="P36" s="297">
        <f>+P34*P37</f>
        <v>18581</v>
      </c>
      <c r="Q36" s="303"/>
      <c r="R36" s="303"/>
      <c r="S36" s="291"/>
      <c r="T36" s="304">
        <f>SUM(C36:P36)</f>
        <v>492428.38497760001</v>
      </c>
      <c r="U36" s="292"/>
      <c r="V36" s="5"/>
    </row>
    <row r="37" spans="1:22" x14ac:dyDescent="0.35">
      <c r="A37" s="305"/>
      <c r="B37" s="306" t="s">
        <v>137</v>
      </c>
      <c r="C37" s="307"/>
      <c r="D37" s="308">
        <v>0.1951706</v>
      </c>
      <c r="E37" s="309"/>
      <c r="F37" s="308">
        <v>1</v>
      </c>
      <c r="G37" s="308"/>
      <c r="H37" s="308">
        <v>1</v>
      </c>
      <c r="I37" s="308"/>
      <c r="J37" s="308">
        <v>1</v>
      </c>
      <c r="K37" s="308"/>
      <c r="L37" s="308">
        <v>1</v>
      </c>
      <c r="M37" s="308"/>
      <c r="N37" s="308">
        <v>1</v>
      </c>
      <c r="O37" s="308"/>
      <c r="P37" s="308">
        <v>1</v>
      </c>
      <c r="Q37" s="310"/>
      <c r="R37" s="310"/>
      <c r="S37" s="311"/>
      <c r="T37" s="311"/>
      <c r="U37" s="312"/>
      <c r="V37" s="5"/>
    </row>
    <row r="38" spans="1:22" x14ac:dyDescent="0.35">
      <c r="A38" s="305"/>
      <c r="B38" s="306" t="s">
        <v>138</v>
      </c>
      <c r="C38" s="307"/>
      <c r="D38" s="308">
        <v>0.2018036</v>
      </c>
      <c r="E38" s="309"/>
      <c r="F38" s="308">
        <v>1</v>
      </c>
      <c r="G38" s="308"/>
      <c r="H38" s="308">
        <v>1</v>
      </c>
      <c r="I38" s="308"/>
      <c r="J38" s="308">
        <v>1</v>
      </c>
      <c r="K38" s="308"/>
      <c r="L38" s="308">
        <v>1</v>
      </c>
      <c r="M38" s="308"/>
      <c r="N38" s="308">
        <v>1</v>
      </c>
      <c r="O38" s="308"/>
      <c r="P38" s="308">
        <v>1</v>
      </c>
      <c r="Q38" s="313"/>
      <c r="R38" s="314"/>
      <c r="S38" s="311"/>
      <c r="T38" s="313"/>
      <c r="U38" s="312"/>
      <c r="V38" s="5"/>
    </row>
    <row r="39" spans="1:22" x14ac:dyDescent="0.35">
      <c r="A39" s="278"/>
      <c r="B39" s="279" t="s">
        <v>11</v>
      </c>
      <c r="C39" s="279"/>
      <c r="D39" s="287" t="s">
        <v>283</v>
      </c>
      <c r="E39" s="279"/>
      <c r="F39" s="287" t="s">
        <v>207</v>
      </c>
      <c r="G39" s="287"/>
      <c r="H39" s="287" t="s">
        <v>207</v>
      </c>
      <c r="I39" s="287"/>
      <c r="J39" s="287" t="s">
        <v>208</v>
      </c>
      <c r="K39" s="287"/>
      <c r="L39" s="287" t="s">
        <v>208</v>
      </c>
      <c r="M39" s="287"/>
      <c r="N39" s="287" t="s">
        <v>209</v>
      </c>
      <c r="O39" s="287"/>
      <c r="P39" s="287" t="s">
        <v>209</v>
      </c>
      <c r="Q39" s="315"/>
      <c r="R39" s="316"/>
      <c r="S39" s="281"/>
      <c r="T39" s="281"/>
      <c r="U39" s="282"/>
      <c r="V39" s="5"/>
    </row>
    <row r="40" spans="1:22" x14ac:dyDescent="0.35">
      <c r="A40" s="278"/>
      <c r="B40" s="279" t="s">
        <v>12</v>
      </c>
      <c r="C40" s="279"/>
      <c r="D40" s="316">
        <v>4.2687999999999997E-3</v>
      </c>
      <c r="E40" s="279"/>
      <c r="F40" s="316">
        <v>8.0499999999999999E-3</v>
      </c>
      <c r="G40" s="315"/>
      <c r="H40" s="316">
        <v>8.0999999999999996E-3</v>
      </c>
      <c r="I40" s="315"/>
      <c r="J40" s="316">
        <v>9.1500000000000001E-3</v>
      </c>
      <c r="K40" s="315"/>
      <c r="L40" s="316">
        <v>9.1999999999999998E-3</v>
      </c>
      <c r="M40" s="315"/>
      <c r="N40" s="316">
        <v>1.1950000000000001E-2</v>
      </c>
      <c r="O40" s="315"/>
      <c r="P40" s="316">
        <v>1.2E-2</v>
      </c>
      <c r="Q40" s="315"/>
      <c r="R40" s="316"/>
      <c r="S40" s="281"/>
      <c r="T40" s="287"/>
      <c r="U40" s="282"/>
      <c r="V40" s="5"/>
    </row>
    <row r="41" spans="1:22" x14ac:dyDescent="0.35">
      <c r="A41" s="278"/>
      <c r="B41" s="279" t="s">
        <v>13</v>
      </c>
      <c r="C41" s="279"/>
      <c r="D41" s="316">
        <v>3.2188E-3</v>
      </c>
      <c r="E41" s="279"/>
      <c r="F41" s="316">
        <v>7.6563000000000004E-3</v>
      </c>
      <c r="G41" s="315"/>
      <c r="H41" s="316">
        <v>8.7399999999999995E-3</v>
      </c>
      <c r="I41" s="315"/>
      <c r="J41" s="316">
        <v>8.7562999999999998E-3</v>
      </c>
      <c r="K41" s="315"/>
      <c r="L41" s="316">
        <v>9.8399999999999998E-3</v>
      </c>
      <c r="M41" s="315"/>
      <c r="N41" s="316">
        <v>1.15563E-2</v>
      </c>
      <c r="O41" s="315"/>
      <c r="P41" s="316">
        <v>1.264E-2</v>
      </c>
      <c r="Q41" s="315"/>
      <c r="R41" s="316"/>
      <c r="S41" s="281"/>
      <c r="T41" s="315" t="s">
        <v>226</v>
      </c>
      <c r="U41" s="282"/>
      <c r="V41" s="5"/>
    </row>
    <row r="42" spans="1:22" x14ac:dyDescent="0.35">
      <c r="A42" s="278"/>
      <c r="B42" s="279" t="s">
        <v>299</v>
      </c>
      <c r="C42" s="279"/>
      <c r="D42" s="287" t="s">
        <v>284</v>
      </c>
      <c r="E42" s="279"/>
      <c r="F42" s="287" t="s">
        <v>207</v>
      </c>
      <c r="G42" s="287"/>
      <c r="H42" s="287" t="s">
        <v>280</v>
      </c>
      <c r="I42" s="287"/>
      <c r="J42" s="287" t="s">
        <v>208</v>
      </c>
      <c r="K42" s="287"/>
      <c r="L42" s="287" t="s">
        <v>281</v>
      </c>
      <c r="M42" s="287"/>
      <c r="N42" s="287" t="s">
        <v>209</v>
      </c>
      <c r="O42" s="287"/>
      <c r="P42" s="287" t="s">
        <v>236</v>
      </c>
      <c r="Q42" s="315"/>
      <c r="R42" s="316"/>
      <c r="S42" s="281"/>
      <c r="T42" s="281"/>
      <c r="U42" s="282"/>
      <c r="V42" s="5"/>
    </row>
    <row r="43" spans="1:22" x14ac:dyDescent="0.35">
      <c r="A43" s="278"/>
      <c r="B43" s="279" t="s">
        <v>300</v>
      </c>
      <c r="C43" s="317"/>
      <c r="D43" s="316">
        <v>7.6055999999999997E-3</v>
      </c>
      <c r="E43" s="279"/>
      <c r="F43" s="316">
        <f>+F40</f>
        <v>8.0499999999999999E-3</v>
      </c>
      <c r="G43" s="315"/>
      <c r="H43" s="316">
        <v>8.2749999999999994E-3</v>
      </c>
      <c r="I43" s="315"/>
      <c r="J43" s="316">
        <f>+J40</f>
        <v>9.1500000000000001E-3</v>
      </c>
      <c r="K43" s="315"/>
      <c r="L43" s="316">
        <v>9.5149999999999992E-3</v>
      </c>
      <c r="M43" s="315"/>
      <c r="N43" s="316">
        <f>+N40</f>
        <v>1.1950000000000001E-2</v>
      </c>
      <c r="O43" s="315"/>
      <c r="P43" s="316">
        <v>1.2565E-2</v>
      </c>
      <c r="Q43" s="287"/>
      <c r="R43" s="287"/>
      <c r="S43" s="281"/>
      <c r="T43" s="315">
        <f>SUMPRODUCT(D43:P43,D35:P35)/T35</f>
        <v>8.6848957624794283E-3</v>
      </c>
      <c r="U43" s="282"/>
      <c r="V43" s="5"/>
    </row>
    <row r="44" spans="1:22" x14ac:dyDescent="0.35">
      <c r="A44" s="278"/>
      <c r="B44" s="279" t="s">
        <v>301</v>
      </c>
      <c r="C44" s="317"/>
      <c r="D44" s="316">
        <v>7.2119000000000003E-3</v>
      </c>
      <c r="E44" s="279"/>
      <c r="F44" s="316">
        <f>+F41</f>
        <v>7.6563000000000004E-3</v>
      </c>
      <c r="G44" s="315"/>
      <c r="H44" s="316">
        <v>7.8813000000000008E-3</v>
      </c>
      <c r="I44" s="315"/>
      <c r="J44" s="316">
        <f>+J41</f>
        <v>8.7562999999999998E-3</v>
      </c>
      <c r="K44" s="315"/>
      <c r="L44" s="316">
        <v>9.1213000000000006E-3</v>
      </c>
      <c r="M44" s="315"/>
      <c r="N44" s="316">
        <f>+N41</f>
        <v>1.15563E-2</v>
      </c>
      <c r="O44" s="315"/>
      <c r="P44" s="316">
        <v>1.2171299999999999E-2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318"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0.3021302101076942</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40344</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90</v>
      </c>
      <c r="Q57" s="279"/>
      <c r="R57" s="327">
        <v>40162</v>
      </c>
      <c r="S57" s="328"/>
      <c r="T57" s="327">
        <v>40251</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40252</v>
      </c>
      <c r="S58" s="328"/>
      <c r="T58" s="327">
        <v>40343</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40330</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305</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260"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496614</v>
      </c>
      <c r="M68" s="332"/>
      <c r="N68" s="332">
        <f>4186+151+108</f>
        <v>4445</v>
      </c>
      <c r="O68" s="332"/>
      <c r="P68" s="332">
        <f>151+108</f>
        <v>259</v>
      </c>
      <c r="Q68" s="332"/>
      <c r="R68" s="332">
        <v>0</v>
      </c>
      <c r="S68" s="332"/>
      <c r="T68" s="333">
        <f>+L68-N68+P68-R68</f>
        <v>492428</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496614</v>
      </c>
      <c r="M71" s="332"/>
      <c r="N71" s="332">
        <f>SUM(N68:N70)</f>
        <v>4445</v>
      </c>
      <c r="O71" s="332"/>
      <c r="P71" s="332">
        <f>SUM(P68:P70)</f>
        <v>259</v>
      </c>
      <c r="Q71" s="332"/>
      <c r="R71" s="332">
        <f>SUM(R68:R70)</f>
        <v>0</v>
      </c>
      <c r="S71" s="332"/>
      <c r="T71" s="332">
        <f>SUM(T68:T70)</f>
        <v>492428</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496614</v>
      </c>
      <c r="M84" s="332"/>
      <c r="N84" s="332"/>
      <c r="O84" s="332"/>
      <c r="P84" s="332"/>
      <c r="Q84" s="332"/>
      <c r="R84" s="332"/>
      <c r="S84" s="332"/>
      <c r="T84" s="332">
        <f>SUM(T71:T83)</f>
        <v>492428</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260" t="s">
        <v>27</v>
      </c>
      <c r="C87" s="260"/>
      <c r="D87" s="260"/>
      <c r="E87" s="260"/>
      <c r="F87" s="260"/>
      <c r="G87" s="260"/>
      <c r="H87" s="261"/>
      <c r="I87" s="261"/>
      <c r="J87" s="262" t="s">
        <v>99</v>
      </c>
      <c r="K87" s="261"/>
      <c r="L87" s="263">
        <f>+R197</f>
        <v>40326</v>
      </c>
      <c r="M87" s="261"/>
      <c r="N87" s="261"/>
      <c r="O87" s="261"/>
      <c r="P87" s="261"/>
      <c r="Q87" s="261"/>
      <c r="R87" s="261" t="s">
        <v>112</v>
      </c>
      <c r="S87" s="261"/>
      <c r="T87" s="261"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4445-495</f>
        <v>3950</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2716+1467-324-234+41+2</f>
        <v>3668</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47+49</f>
        <v>96</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32</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0</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3950</v>
      </c>
      <c r="S96" s="279"/>
      <c r="T96" s="332">
        <f>SUM(T88:T95)</f>
        <v>3796</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-14</v>
      </c>
      <c r="S97" s="279"/>
      <c r="T97" s="332">
        <v>14</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-370</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3936</v>
      </c>
      <c r="S100" s="279"/>
      <c r="T100" s="332">
        <f>T96+T98+T97+T99</f>
        <v>3440</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-190-200-6</f>
        <v>-396</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-725</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v>-557</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-213</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-31</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-72</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-59</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-155</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-13</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495</v>
      </c>
      <c r="S114" s="279"/>
      <c r="T114" s="333">
        <v>-495</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-189</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-532</v>
      </c>
      <c r="U119" s="282"/>
      <c r="V119" s="5"/>
    </row>
    <row r="120" spans="1:22" x14ac:dyDescent="0.35">
      <c r="A120" s="278"/>
      <c r="B120" s="340"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-16</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-229</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-4186</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0</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0</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0</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-4431</v>
      </c>
      <c r="S131" s="332"/>
      <c r="T131" s="332">
        <f>SUM(T101:T129)</f>
        <v>-3440</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MAY 2010</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267"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495</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495</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-495</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f>-T99</f>
        <v>370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492428</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492428</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+'Feb 10'!Q183</f>
        <v>42349</v>
      </c>
      <c r="R180" s="333">
        <f>+'Feb 10'!R183</f>
        <v>5971</v>
      </c>
      <c r="S180" s="279"/>
      <c r="T180" s="333">
        <f>Q180+R180</f>
        <v>48320</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f>151+78</f>
        <v>229</v>
      </c>
      <c r="R181" s="332">
        <v>0</v>
      </c>
      <c r="S181" s="279"/>
      <c r="T181" s="333">
        <f>Q181+R181</f>
        <v>229</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42578</v>
      </c>
      <c r="R182" s="333">
        <f>R181+R180</f>
        <v>5971</v>
      </c>
      <c r="S182" s="279"/>
      <c r="T182" s="333">
        <f>Q182+R182</f>
        <v>48549</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111507.48000000001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3.0077922077922077</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1.49</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15.009708737864077</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7.24</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6.7429906542056077</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3.7</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MAY 2010</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267" t="s">
        <v>72</v>
      </c>
      <c r="C197" s="268"/>
      <c r="D197" s="268"/>
      <c r="E197" s="268"/>
      <c r="F197" s="268"/>
      <c r="G197" s="269"/>
      <c r="H197" s="269"/>
      <c r="I197" s="269"/>
      <c r="J197" s="269"/>
      <c r="K197" s="269"/>
      <c r="L197" s="269"/>
      <c r="M197" s="269"/>
      <c r="N197" s="269"/>
      <c r="O197" s="269"/>
      <c r="P197" s="269"/>
      <c r="Q197" s="269"/>
      <c r="R197" s="269">
        <v>40326</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2.8049999999999999E-2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8.6848957624794283E-3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1.936510423752057E-2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6.9269090279371909E-3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17.14</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8.9506135549944216E-3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0.1542</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260" t="s">
        <v>81</v>
      </c>
      <c r="C214" s="261"/>
      <c r="D214" s="261"/>
      <c r="E214" s="261"/>
      <c r="F214" s="271"/>
      <c r="G214" s="261"/>
      <c r="H214" s="261"/>
      <c r="I214" s="261"/>
      <c r="J214" s="261"/>
      <c r="K214" s="261"/>
      <c r="L214" s="261"/>
      <c r="M214" s="261"/>
      <c r="N214" s="261"/>
      <c r="O214" s="261"/>
      <c r="P214" s="261"/>
      <c r="Q214" s="261" t="s">
        <v>106</v>
      </c>
      <c r="R214" s="271"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+P256</f>
        <v>108</v>
      </c>
      <c r="R216" s="358">
        <f>+R256</f>
        <v>17866</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84" t="s">
        <v>87</v>
      </c>
      <c r="C221" s="366"/>
      <c r="D221" s="366"/>
      <c r="E221" s="366"/>
      <c r="F221" s="366"/>
      <c r="G221" s="307"/>
      <c r="H221" s="307"/>
      <c r="I221" s="307"/>
      <c r="J221" s="307"/>
      <c r="K221" s="307"/>
      <c r="L221" s="307"/>
      <c r="M221" s="307"/>
      <c r="N221" s="307"/>
      <c r="O221" s="307"/>
      <c r="P221" s="307"/>
      <c r="Q221" s="287"/>
      <c r="R221" s="358">
        <f>+T165</f>
        <v>495</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'Feb 10'!R223+R221</f>
        <v>3914</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366"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10</v>
      </c>
      <c r="R228" s="358">
        <v>1609</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4.17</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260" t="s">
        <v>171</v>
      </c>
      <c r="C234" s="261"/>
      <c r="D234" s="261"/>
      <c r="E234" s="261"/>
      <c r="F234" s="271"/>
      <c r="G234" s="261"/>
      <c r="H234" s="261"/>
      <c r="I234" s="261"/>
      <c r="J234" s="261"/>
      <c r="K234" s="261"/>
      <c r="L234" s="261"/>
      <c r="M234" s="261"/>
      <c r="N234" s="261"/>
      <c r="O234" s="261"/>
      <c r="P234" s="271" t="s">
        <v>106</v>
      </c>
      <c r="Q234" s="261" t="s">
        <v>107</v>
      </c>
      <c r="R234" s="271" t="s">
        <v>115</v>
      </c>
      <c r="S234" s="261" t="s">
        <v>107</v>
      </c>
      <c r="T234" s="253"/>
      <c r="U234" s="260"/>
      <c r="V234" s="5"/>
    </row>
    <row r="235" spans="1:23" x14ac:dyDescent="0.35">
      <c r="A235" s="190"/>
      <c r="B235" s="227" t="s">
        <v>92</v>
      </c>
      <c r="C235" s="243"/>
      <c r="D235" s="243"/>
      <c r="E235" s="243"/>
      <c r="F235" s="224"/>
      <c r="G235" s="243"/>
      <c r="H235" s="243"/>
      <c r="I235" s="243"/>
      <c r="J235" s="243"/>
      <c r="K235" s="243"/>
      <c r="L235" s="243"/>
      <c r="M235" s="243"/>
      <c r="N235" s="243"/>
      <c r="O235" s="243"/>
      <c r="P235" s="227">
        <v>3486</v>
      </c>
      <c r="Q235" s="244">
        <f t="shared" ref="Q235:Q242" si="1">P235/$P$244</f>
        <v>0.98781524511192975</v>
      </c>
      <c r="R235" s="237">
        <v>468887</v>
      </c>
      <c r="S235" s="244">
        <f t="shared" ref="S235:S242" si="2">R235/$R$244</f>
        <v>0.9880416046796836</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v>30</v>
      </c>
      <c r="Q236" s="378">
        <f t="shared" si="1"/>
        <v>8.5009917823746107E-3</v>
      </c>
      <c r="R236" s="333">
        <v>3832</v>
      </c>
      <c r="S236" s="378">
        <f t="shared" si="2"/>
        <v>8.0748142497713681E-3</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v>6</v>
      </c>
      <c r="Q237" s="378">
        <f t="shared" si="1"/>
        <v>1.7001983564749221E-3</v>
      </c>
      <c r="R237" s="333">
        <v>997</v>
      </c>
      <c r="S237" s="378">
        <f t="shared" si="2"/>
        <v>2.1008846051727699E-3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v>5</v>
      </c>
      <c r="Q238" s="378">
        <f t="shared" si="1"/>
        <v>1.4168319637291016E-3</v>
      </c>
      <c r="R238" s="333">
        <v>621</v>
      </c>
      <c r="S238" s="378">
        <f t="shared" si="2"/>
        <v>1.308575065007312E-3</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v>1</v>
      </c>
      <c r="Q239" s="378">
        <f t="shared" si="1"/>
        <v>2.8336639274582036E-4</v>
      </c>
      <c r="R239" s="333">
        <v>111</v>
      </c>
      <c r="S239" s="378">
        <f t="shared" si="2"/>
        <v>2.3389989084671761E-4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v>1</v>
      </c>
      <c r="Q240" s="378">
        <f t="shared" si="1"/>
        <v>2.8336639274582036E-4</v>
      </c>
      <c r="R240" s="333">
        <v>114</v>
      </c>
      <c r="S240" s="378">
        <f t="shared" si="2"/>
        <v>2.4022150951825052E-4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v>0</v>
      </c>
      <c r="Q241" s="378">
        <f t="shared" si="1"/>
        <v>0</v>
      </c>
      <c r="R241" s="333">
        <v>0</v>
      </c>
      <c r="S241" s="378">
        <f t="shared" si="2"/>
        <v>0</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v>0</v>
      </c>
      <c r="Q242" s="378">
        <f t="shared" si="1"/>
        <v>0</v>
      </c>
      <c r="R242" s="333">
        <v>0</v>
      </c>
      <c r="S242" s="378">
        <f t="shared" si="2"/>
        <v>0</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3529</v>
      </c>
      <c r="Q244" s="378">
        <f>SUM(Q235:Q243)</f>
        <v>1</v>
      </c>
      <c r="R244" s="333">
        <f>SUM(R235:R243)</f>
        <v>474562</v>
      </c>
      <c r="S244" s="378">
        <f>SUM(S235:S243)</f>
        <v>1.0000000000000002</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72"/>
      <c r="B246" s="260" t="s">
        <v>275</v>
      </c>
      <c r="C246" s="261"/>
      <c r="D246" s="261"/>
      <c r="E246" s="261"/>
      <c r="F246" s="271"/>
      <c r="G246" s="261"/>
      <c r="H246" s="261"/>
      <c r="I246" s="261"/>
      <c r="J246" s="261"/>
      <c r="K246" s="261"/>
      <c r="L246" s="261"/>
      <c r="M246" s="261"/>
      <c r="N246" s="261"/>
      <c r="O246" s="261"/>
      <c r="P246" s="271" t="s">
        <v>106</v>
      </c>
      <c r="Q246" s="261" t="s">
        <v>107</v>
      </c>
      <c r="R246" s="271" t="s">
        <v>115</v>
      </c>
      <c r="S246" s="261" t="s">
        <v>107</v>
      </c>
      <c r="T246" s="273"/>
      <c r="U246" s="274"/>
      <c r="V246" s="5"/>
    </row>
    <row r="247" spans="1:23" x14ac:dyDescent="0.35">
      <c r="A247" s="190"/>
      <c r="B247" s="227" t="s">
        <v>92</v>
      </c>
      <c r="C247" s="243"/>
      <c r="D247" s="243"/>
      <c r="E247" s="243"/>
      <c r="F247" s="224"/>
      <c r="G247" s="243"/>
      <c r="H247" s="243"/>
      <c r="I247" s="243"/>
      <c r="J247" s="243"/>
      <c r="K247" s="243"/>
      <c r="L247" s="243"/>
      <c r="M247" s="243"/>
      <c r="N247" s="243"/>
      <c r="O247" s="243"/>
      <c r="P247" s="227">
        <v>65</v>
      </c>
      <c r="Q247" s="244">
        <f t="shared" ref="Q247:Q254" si="3">P247/$P$256</f>
        <v>0.60185185185185186</v>
      </c>
      <c r="R247" s="237">
        <v>10978</v>
      </c>
      <c r="S247" s="244">
        <f t="shared" ref="S247:S254" si="4">R247/$R$256</f>
        <v>0.61446322623978511</v>
      </c>
      <c r="T247" s="224"/>
      <c r="U247" s="224"/>
      <c r="V247" s="5"/>
    </row>
    <row r="248" spans="1:23" x14ac:dyDescent="0.35">
      <c r="A248" s="305"/>
      <c r="B248" s="332" t="s">
        <v>93</v>
      </c>
      <c r="C248" s="377"/>
      <c r="D248" s="377"/>
      <c r="E248" s="377"/>
      <c r="F248" s="279"/>
      <c r="G248" s="378"/>
      <c r="H248" s="377"/>
      <c r="I248" s="377"/>
      <c r="J248" s="377"/>
      <c r="K248" s="377"/>
      <c r="L248" s="377"/>
      <c r="M248" s="377"/>
      <c r="N248" s="377"/>
      <c r="O248" s="377"/>
      <c r="P248" s="332">
        <v>2</v>
      </c>
      <c r="Q248" s="378">
        <f t="shared" si="3"/>
        <v>1.8518518518518517E-2</v>
      </c>
      <c r="R248" s="333">
        <v>151</v>
      </c>
      <c r="S248" s="378">
        <f t="shared" si="4"/>
        <v>8.4518079032799738E-3</v>
      </c>
      <c r="T248" s="279"/>
      <c r="U248" s="282"/>
      <c r="V248" s="5"/>
    </row>
    <row r="249" spans="1:23" x14ac:dyDescent="0.35">
      <c r="A249" s="305"/>
      <c r="B249" s="332" t="s">
        <v>94</v>
      </c>
      <c r="C249" s="377"/>
      <c r="D249" s="377"/>
      <c r="E249" s="377"/>
      <c r="F249" s="279"/>
      <c r="G249" s="378"/>
      <c r="H249" s="377"/>
      <c r="I249" s="377"/>
      <c r="J249" s="377"/>
      <c r="K249" s="377"/>
      <c r="L249" s="377"/>
      <c r="M249" s="377"/>
      <c r="N249" s="377"/>
      <c r="O249" s="377"/>
      <c r="P249" s="332">
        <v>2</v>
      </c>
      <c r="Q249" s="378">
        <f t="shared" si="3"/>
        <v>1.8518518518518517E-2</v>
      </c>
      <c r="R249" s="333">
        <v>209</v>
      </c>
      <c r="S249" s="378">
        <f t="shared" si="4"/>
        <v>1.1698197693943804E-2</v>
      </c>
      <c r="T249" s="279"/>
      <c r="U249" s="282"/>
      <c r="V249" s="5"/>
    </row>
    <row r="250" spans="1:23" x14ac:dyDescent="0.35">
      <c r="A250" s="305"/>
      <c r="B250" s="332" t="s">
        <v>164</v>
      </c>
      <c r="C250" s="377"/>
      <c r="D250" s="377"/>
      <c r="E250" s="377"/>
      <c r="F250" s="279"/>
      <c r="G250" s="378"/>
      <c r="H250" s="377"/>
      <c r="I250" s="377"/>
      <c r="J250" s="377"/>
      <c r="K250" s="377"/>
      <c r="L250" s="377"/>
      <c r="M250" s="377"/>
      <c r="N250" s="377"/>
      <c r="O250" s="377"/>
      <c r="P250" s="332">
        <v>4</v>
      </c>
      <c r="Q250" s="378">
        <f t="shared" si="3"/>
        <v>3.7037037037037035E-2</v>
      </c>
      <c r="R250" s="333">
        <v>804</v>
      </c>
      <c r="S250" s="378">
        <f t="shared" si="4"/>
        <v>4.5001679167133102E-2</v>
      </c>
      <c r="T250" s="279"/>
      <c r="U250" s="282"/>
      <c r="V250" s="5"/>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3"/>
        <v>0</v>
      </c>
      <c r="R251" s="333">
        <v>0</v>
      </c>
      <c r="S251" s="378">
        <f t="shared" si="4"/>
        <v>0</v>
      </c>
      <c r="T251" s="279"/>
      <c r="U251" s="282"/>
      <c r="V251" s="5"/>
    </row>
    <row r="252" spans="1:23" x14ac:dyDescent="0.35">
      <c r="A252" s="305"/>
      <c r="B252" s="332" t="s">
        <v>166</v>
      </c>
      <c r="C252" s="377"/>
      <c r="D252" s="377"/>
      <c r="E252" s="377"/>
      <c r="F252" s="279"/>
      <c r="G252" s="378"/>
      <c r="H252" s="377"/>
      <c r="I252" s="377"/>
      <c r="J252" s="377"/>
      <c r="K252" s="377"/>
      <c r="L252" s="377"/>
      <c r="M252" s="377"/>
      <c r="N252" s="377"/>
      <c r="O252" s="377"/>
      <c r="P252" s="332">
        <v>2</v>
      </c>
      <c r="Q252" s="378">
        <f t="shared" si="3"/>
        <v>1.8518518518518517E-2</v>
      </c>
      <c r="R252" s="333">
        <v>235</v>
      </c>
      <c r="S252" s="378">
        <f t="shared" si="4"/>
        <v>1.3153475875965522E-2</v>
      </c>
      <c r="T252" s="279"/>
      <c r="U252" s="282"/>
      <c r="V252" s="5"/>
    </row>
    <row r="253" spans="1:23" x14ac:dyDescent="0.35">
      <c r="A253" s="305"/>
      <c r="B253" s="332" t="s">
        <v>167</v>
      </c>
      <c r="C253" s="377"/>
      <c r="D253" s="377"/>
      <c r="E253" s="377"/>
      <c r="F253" s="279"/>
      <c r="G253" s="378"/>
      <c r="H253" s="377"/>
      <c r="I253" s="377"/>
      <c r="J253" s="377"/>
      <c r="K253" s="377"/>
      <c r="L253" s="377"/>
      <c r="M253" s="377"/>
      <c r="N253" s="377"/>
      <c r="O253" s="377"/>
      <c r="P253" s="332">
        <v>12</v>
      </c>
      <c r="Q253" s="378">
        <f t="shared" si="3"/>
        <v>0.1111111111111111</v>
      </c>
      <c r="R253" s="333">
        <v>1715</v>
      </c>
      <c r="S253" s="378">
        <f t="shared" si="4"/>
        <v>9.5992387775663268E-2</v>
      </c>
      <c r="T253" s="279"/>
      <c r="U253" s="282"/>
      <c r="V253" s="5"/>
    </row>
    <row r="254" spans="1:23" x14ac:dyDescent="0.35">
      <c r="A254" s="305"/>
      <c r="B254" s="332" t="s">
        <v>168</v>
      </c>
      <c r="C254" s="377"/>
      <c r="D254" s="377"/>
      <c r="E254" s="377"/>
      <c r="F254" s="279"/>
      <c r="G254" s="378"/>
      <c r="H254" s="377"/>
      <c r="I254" s="377"/>
      <c r="J254" s="377"/>
      <c r="K254" s="377"/>
      <c r="L254" s="377"/>
      <c r="M254" s="377"/>
      <c r="N254" s="377"/>
      <c r="O254" s="377"/>
      <c r="P254" s="332">
        <v>21</v>
      </c>
      <c r="Q254" s="378">
        <f t="shared" si="3"/>
        <v>0.19444444444444445</v>
      </c>
      <c r="R254" s="333">
        <v>3774</v>
      </c>
      <c r="S254" s="378">
        <f t="shared" si="4"/>
        <v>0.21123922534422926</v>
      </c>
      <c r="T254" s="279"/>
      <c r="U254" s="282"/>
      <c r="V254" s="5"/>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279"/>
      <c r="U255" s="282"/>
      <c r="V255" s="5"/>
    </row>
    <row r="256" spans="1:23" x14ac:dyDescent="0.35">
      <c r="A256" s="305"/>
      <c r="B256" s="279"/>
      <c r="C256" s="279"/>
      <c r="D256" s="279"/>
      <c r="E256" s="279"/>
      <c r="F256" s="279"/>
      <c r="G256" s="279"/>
      <c r="H256" s="380"/>
      <c r="I256" s="380"/>
      <c r="J256" s="380"/>
      <c r="K256" s="380"/>
      <c r="L256" s="380"/>
      <c r="M256" s="380"/>
      <c r="N256" s="380"/>
      <c r="O256" s="380"/>
      <c r="P256" s="332">
        <f>SUM(P247:P255)</f>
        <v>108</v>
      </c>
      <c r="Q256" s="378">
        <f>SUM(Q247:Q255)</f>
        <v>0.99999999999999978</v>
      </c>
      <c r="R256" s="333">
        <f>SUM(R247:R255)</f>
        <v>17866</v>
      </c>
      <c r="S256" s="378">
        <f>SUM(S247:S255)</f>
        <v>0.99999999999999978</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260" t="s">
        <v>173</v>
      </c>
      <c r="C258" s="273"/>
      <c r="D258" s="273"/>
      <c r="E258" s="273"/>
      <c r="F258" s="273"/>
      <c r="G258" s="273"/>
      <c r="H258" s="275"/>
      <c r="I258" s="275"/>
      <c r="J258" s="275"/>
      <c r="K258" s="275"/>
      <c r="L258" s="275"/>
      <c r="M258" s="275"/>
      <c r="N258" s="275"/>
      <c r="O258" s="275"/>
      <c r="P258" s="271" t="s">
        <v>106</v>
      </c>
      <c r="Q258" s="261" t="s">
        <v>107</v>
      </c>
      <c r="R258" s="271" t="s">
        <v>115</v>
      </c>
      <c r="S258" s="261" t="s">
        <v>107</v>
      </c>
      <c r="T258" s="273"/>
      <c r="U258" s="274"/>
      <c r="V258" s="5"/>
    </row>
    <row r="259" spans="1:22" x14ac:dyDescent="0.35">
      <c r="A259" s="190"/>
      <c r="B259" s="227" t="s">
        <v>92</v>
      </c>
      <c r="C259" s="224"/>
      <c r="D259" s="224"/>
      <c r="E259" s="224"/>
      <c r="F259" s="224"/>
      <c r="G259" s="224"/>
      <c r="H259" s="245"/>
      <c r="I259" s="245"/>
      <c r="J259" s="245"/>
      <c r="K259" s="245"/>
      <c r="L259" s="245"/>
      <c r="M259" s="245"/>
      <c r="N259" s="245"/>
      <c r="O259" s="245"/>
      <c r="P259" s="227">
        <v>0</v>
      </c>
      <c r="Q259" s="244">
        <v>0</v>
      </c>
      <c r="R259" s="237">
        <v>0</v>
      </c>
      <c r="S259" s="244">
        <v>0</v>
      </c>
      <c r="T259" s="224"/>
      <c r="U259" s="224"/>
      <c r="V259" s="5"/>
    </row>
    <row r="260" spans="1:22" x14ac:dyDescent="0.35">
      <c r="A260" s="305"/>
      <c r="B260" s="332" t="s">
        <v>93</v>
      </c>
      <c r="C260" s="279"/>
      <c r="D260" s="279"/>
      <c r="E260" s="279"/>
      <c r="F260" s="279"/>
      <c r="G260" s="279"/>
      <c r="H260" s="380"/>
      <c r="I260" s="380"/>
      <c r="J260" s="380"/>
      <c r="K260" s="380"/>
      <c r="L260" s="380"/>
      <c r="M260" s="380"/>
      <c r="N260" s="380"/>
      <c r="O260" s="380"/>
      <c r="P260" s="332">
        <v>0</v>
      </c>
      <c r="Q260" s="378">
        <v>0</v>
      </c>
      <c r="R260" s="333">
        <v>0</v>
      </c>
      <c r="S260" s="378">
        <v>0</v>
      </c>
      <c r="T260" s="279"/>
      <c r="U260" s="282"/>
      <c r="V260" s="5"/>
    </row>
    <row r="261" spans="1:22" x14ac:dyDescent="0.35">
      <c r="A261" s="305"/>
      <c r="B261" s="332" t="s">
        <v>94</v>
      </c>
      <c r="C261" s="279"/>
      <c r="D261" s="279"/>
      <c r="E261" s="279"/>
      <c r="F261" s="279"/>
      <c r="G261" s="279"/>
      <c r="H261" s="380"/>
      <c r="I261" s="380"/>
      <c r="J261" s="380"/>
      <c r="K261" s="380"/>
      <c r="L261" s="380"/>
      <c r="M261" s="380"/>
      <c r="N261" s="380"/>
      <c r="O261" s="380"/>
      <c r="P261" s="332">
        <v>0</v>
      </c>
      <c r="Q261" s="378">
        <v>0</v>
      </c>
      <c r="R261" s="333">
        <v>0</v>
      </c>
      <c r="S261" s="378">
        <v>0</v>
      </c>
      <c r="T261" s="279"/>
      <c r="U261" s="282"/>
      <c r="V261" s="5"/>
    </row>
    <row r="262" spans="1:22" x14ac:dyDescent="0.35">
      <c r="A262" s="305"/>
      <c r="B262" s="332" t="s">
        <v>164</v>
      </c>
      <c r="C262" s="279"/>
      <c r="D262" s="279"/>
      <c r="E262" s="279"/>
      <c r="F262" s="279"/>
      <c r="G262" s="279"/>
      <c r="H262" s="380"/>
      <c r="I262" s="380"/>
      <c r="J262" s="380"/>
      <c r="K262" s="380"/>
      <c r="L262" s="380"/>
      <c r="M262" s="380"/>
      <c r="N262" s="380"/>
      <c r="O262" s="380"/>
      <c r="P262" s="332">
        <v>0</v>
      </c>
      <c r="Q262" s="378">
        <v>0</v>
      </c>
      <c r="R262" s="333">
        <v>0</v>
      </c>
      <c r="S262" s="378">
        <v>0</v>
      </c>
      <c r="T262" s="279"/>
      <c r="U262" s="282"/>
      <c r="V262" s="5"/>
    </row>
    <row r="263" spans="1:22" x14ac:dyDescent="0.35">
      <c r="A263" s="305"/>
      <c r="B263" s="332" t="s">
        <v>165</v>
      </c>
      <c r="C263" s="279"/>
      <c r="D263" s="279"/>
      <c r="E263" s="279"/>
      <c r="F263" s="279"/>
      <c r="G263" s="279"/>
      <c r="H263" s="380"/>
      <c r="I263" s="380"/>
      <c r="J263" s="380"/>
      <c r="K263" s="380"/>
      <c r="L263" s="380"/>
      <c r="M263" s="380"/>
      <c r="N263" s="380"/>
      <c r="O263" s="380"/>
      <c r="P263" s="332">
        <v>0</v>
      </c>
      <c r="Q263" s="378">
        <v>0</v>
      </c>
      <c r="R263" s="333">
        <v>0</v>
      </c>
      <c r="S263" s="378">
        <v>0</v>
      </c>
      <c r="T263" s="279"/>
      <c r="U263" s="282"/>
      <c r="V263" s="5"/>
    </row>
    <row r="264" spans="1:22" x14ac:dyDescent="0.35">
      <c r="A264" s="305"/>
      <c r="B264" s="332" t="s">
        <v>166</v>
      </c>
      <c r="C264" s="279"/>
      <c r="D264" s="279"/>
      <c r="E264" s="279"/>
      <c r="F264" s="279"/>
      <c r="G264" s="279"/>
      <c r="H264" s="380"/>
      <c r="I264" s="380"/>
      <c r="J264" s="380"/>
      <c r="K264" s="380"/>
      <c r="L264" s="380"/>
      <c r="M264" s="380"/>
      <c r="N264" s="380"/>
      <c r="O264" s="380"/>
      <c r="P264" s="332">
        <v>0</v>
      </c>
      <c r="Q264" s="378">
        <v>0</v>
      </c>
      <c r="R264" s="333">
        <v>0</v>
      </c>
      <c r="S264" s="378">
        <v>0</v>
      </c>
      <c r="T264" s="279"/>
      <c r="U264" s="282"/>
      <c r="V264" s="5"/>
    </row>
    <row r="265" spans="1:22" x14ac:dyDescent="0.35">
      <c r="A265" s="305"/>
      <c r="B265" s="332" t="s">
        <v>167</v>
      </c>
      <c r="C265" s="279"/>
      <c r="D265" s="279"/>
      <c r="E265" s="279"/>
      <c r="F265" s="279"/>
      <c r="G265" s="279"/>
      <c r="H265" s="380"/>
      <c r="I265" s="380"/>
      <c r="J265" s="380"/>
      <c r="K265" s="380"/>
      <c r="L265" s="380"/>
      <c r="M265" s="380"/>
      <c r="N265" s="380"/>
      <c r="O265" s="380"/>
      <c r="P265" s="332">
        <v>0</v>
      </c>
      <c r="Q265" s="378">
        <v>0</v>
      </c>
      <c r="R265" s="333">
        <v>0</v>
      </c>
      <c r="S265" s="378">
        <v>0</v>
      </c>
      <c r="T265" s="279"/>
      <c r="U265" s="282"/>
      <c r="V265" s="5"/>
    </row>
    <row r="266" spans="1:22" x14ac:dyDescent="0.35">
      <c r="A266" s="305"/>
      <c r="B266" s="332" t="s">
        <v>168</v>
      </c>
      <c r="C266" s="279"/>
      <c r="D266" s="279"/>
      <c r="E266" s="279"/>
      <c r="F266" s="279"/>
      <c r="G266" s="279"/>
      <c r="H266" s="380"/>
      <c r="I266" s="380"/>
      <c r="J266" s="380"/>
      <c r="K266" s="380"/>
      <c r="L266" s="380"/>
      <c r="M266" s="380"/>
      <c r="N266" s="380"/>
      <c r="O266" s="380"/>
      <c r="P266" s="332">
        <v>0</v>
      </c>
      <c r="Q266" s="378">
        <v>0</v>
      </c>
      <c r="R266" s="333">
        <v>0</v>
      </c>
      <c r="S266" s="378">
        <v>0</v>
      </c>
      <c r="T266" s="279"/>
      <c r="U266" s="282"/>
      <c r="V266" s="5"/>
    </row>
    <row r="267" spans="1:22" x14ac:dyDescent="0.35">
      <c r="A267" s="305"/>
      <c r="B267" s="332"/>
      <c r="C267" s="279"/>
      <c r="D267" s="279"/>
      <c r="E267" s="279"/>
      <c r="F267" s="279"/>
      <c r="G267" s="279"/>
      <c r="H267" s="380"/>
      <c r="I267" s="380"/>
      <c r="J267" s="380"/>
      <c r="K267" s="380"/>
      <c r="L267" s="380"/>
      <c r="M267" s="380"/>
      <c r="N267" s="380"/>
      <c r="O267" s="380"/>
      <c r="P267" s="332"/>
      <c r="Q267" s="378"/>
      <c r="R267" s="333"/>
      <c r="S267" s="378"/>
      <c r="T267" s="279"/>
      <c r="U267" s="282"/>
      <c r="V267" s="5"/>
    </row>
    <row r="268" spans="1:22" x14ac:dyDescent="0.35">
      <c r="A268" s="305"/>
      <c r="B268" s="279" t="s">
        <v>121</v>
      </c>
      <c r="C268" s="279"/>
      <c r="D268" s="279"/>
      <c r="E268" s="279"/>
      <c r="F268" s="279"/>
      <c r="G268" s="279"/>
      <c r="H268" s="380"/>
      <c r="I268" s="380"/>
      <c r="J268" s="380"/>
      <c r="K268" s="380"/>
      <c r="L268" s="380"/>
      <c r="M268" s="380"/>
      <c r="N268" s="380"/>
      <c r="O268" s="380"/>
      <c r="P268" s="332">
        <f>SUM(P259:P266)</f>
        <v>0</v>
      </c>
      <c r="Q268" s="378">
        <f>SUM(Q259:Q266)</f>
        <v>0</v>
      </c>
      <c r="R268" s="333">
        <f>SUM(R259:R266)</f>
        <v>0</v>
      </c>
      <c r="S268" s="378">
        <f>SUM(S259:S266)</f>
        <v>0</v>
      </c>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c r="Q269" s="378"/>
      <c r="R269" s="333"/>
      <c r="S269" s="378"/>
      <c r="T269" s="279"/>
      <c r="U269" s="282"/>
      <c r="V269" s="5"/>
    </row>
    <row r="270" spans="1:22" x14ac:dyDescent="0.35">
      <c r="A270" s="305"/>
      <c r="B270" s="288" t="s">
        <v>174</v>
      </c>
      <c r="C270" s="279"/>
      <c r="D270" s="279"/>
      <c r="E270" s="279"/>
      <c r="F270" s="279"/>
      <c r="G270" s="279"/>
      <c r="H270" s="380"/>
      <c r="I270" s="380"/>
      <c r="J270" s="380"/>
      <c r="K270" s="380"/>
      <c r="L270" s="380"/>
      <c r="M270" s="380"/>
      <c r="N270" s="380"/>
      <c r="O270" s="380"/>
      <c r="P270" s="381">
        <f>P268+P256+P244</f>
        <v>3637</v>
      </c>
      <c r="Q270" s="378"/>
      <c r="R270" s="382">
        <f>+R268+R256+R244</f>
        <v>492428</v>
      </c>
      <c r="S270" s="378"/>
      <c r="T270" s="279"/>
      <c r="U270" s="282"/>
      <c r="V270" s="5"/>
    </row>
    <row r="271" spans="1:22" x14ac:dyDescent="0.35">
      <c r="A271" s="174"/>
      <c r="B271" s="258"/>
      <c r="C271" s="258"/>
      <c r="D271" s="258"/>
      <c r="E271" s="258"/>
      <c r="F271" s="258"/>
      <c r="G271" s="258"/>
      <c r="H271" s="374"/>
      <c r="I271" s="374"/>
      <c r="J271" s="374"/>
      <c r="K271" s="374"/>
      <c r="L271" s="374"/>
      <c r="M271" s="374"/>
      <c r="N271" s="374"/>
      <c r="O271" s="374"/>
      <c r="P271" s="374"/>
      <c r="Q271" s="374"/>
      <c r="R271" s="376"/>
      <c r="S271" s="374"/>
      <c r="T271" s="258"/>
      <c r="U271" s="258"/>
      <c r="V271" s="5"/>
    </row>
    <row r="272" spans="1:22" x14ac:dyDescent="0.35">
      <c r="A272" s="174"/>
      <c r="B272" s="229"/>
      <c r="C272" s="229"/>
      <c r="D272" s="229"/>
      <c r="E272" s="229"/>
      <c r="F272" s="229"/>
      <c r="G272" s="229"/>
      <c r="H272" s="246"/>
      <c r="I272" s="246"/>
      <c r="J272" s="246"/>
      <c r="K272" s="246"/>
      <c r="L272" s="246"/>
      <c r="M272" s="246"/>
      <c r="N272" s="246"/>
      <c r="O272" s="246"/>
      <c r="P272" s="246"/>
      <c r="Q272" s="246"/>
      <c r="R272" s="247"/>
      <c r="S272" s="246"/>
      <c r="T272" s="229"/>
      <c r="U272" s="229"/>
      <c r="V272" s="5"/>
    </row>
    <row r="273" spans="1:22" x14ac:dyDescent="0.35">
      <c r="A273" s="213"/>
      <c r="B273" s="216" t="s">
        <v>95</v>
      </c>
      <c r="C273" s="229"/>
      <c r="D273" s="229"/>
      <c r="E273" s="229"/>
      <c r="F273" s="222" t="s">
        <v>101</v>
      </c>
      <c r="G273" s="229"/>
      <c r="H273" s="216" t="s">
        <v>103</v>
      </c>
      <c r="I273" s="248"/>
      <c r="J273" s="248"/>
      <c r="K273" s="248"/>
      <c r="L273" s="248"/>
      <c r="M273" s="248"/>
      <c r="N273" s="248"/>
      <c r="O273" s="248"/>
      <c r="P273" s="248"/>
      <c r="Q273" s="248"/>
      <c r="R273" s="248"/>
      <c r="S273" s="248"/>
      <c r="T273" s="248"/>
      <c r="U273" s="248"/>
      <c r="V273" s="5"/>
    </row>
    <row r="274" spans="1:22" x14ac:dyDescent="0.35">
      <c r="A274" s="213"/>
      <c r="B274" s="248"/>
      <c r="C274" s="229"/>
      <c r="D274" s="229"/>
      <c r="E274" s="229"/>
      <c r="F274" s="229"/>
      <c r="G274" s="229"/>
      <c r="H274" s="229"/>
      <c r="I274" s="248"/>
      <c r="J274" s="248"/>
      <c r="K274" s="248"/>
      <c r="L274" s="248"/>
      <c r="M274" s="248"/>
      <c r="N274" s="248"/>
      <c r="O274" s="248"/>
      <c r="P274" s="248"/>
      <c r="Q274" s="248"/>
      <c r="R274" s="248"/>
      <c r="S274" s="248"/>
      <c r="T274" s="248"/>
      <c r="U274" s="248"/>
      <c r="V274" s="5"/>
    </row>
    <row r="275" spans="1:22" x14ac:dyDescent="0.35">
      <c r="A275" s="213"/>
      <c r="B275" s="216" t="s">
        <v>96</v>
      </c>
      <c r="C275" s="216"/>
      <c r="D275" s="216"/>
      <c r="E275" s="216"/>
      <c r="F275" s="249" t="s">
        <v>155</v>
      </c>
      <c r="G275" s="216"/>
      <c r="H275" s="216" t="s">
        <v>160</v>
      </c>
      <c r="I275" s="248"/>
      <c r="J275" s="248"/>
      <c r="K275" s="248"/>
      <c r="L275" s="248"/>
      <c r="M275" s="248"/>
      <c r="N275" s="248"/>
      <c r="O275" s="248"/>
      <c r="P275" s="248"/>
      <c r="Q275" s="248"/>
      <c r="R275" s="248"/>
      <c r="S275" s="248"/>
      <c r="T275" s="248"/>
      <c r="U275" s="248"/>
      <c r="V275" s="5"/>
    </row>
    <row r="276" spans="1:22" x14ac:dyDescent="0.35">
      <c r="A276" s="213"/>
      <c r="B276" s="216" t="s">
        <v>277</v>
      </c>
      <c r="C276" s="216"/>
      <c r="D276" s="216"/>
      <c r="E276" s="216"/>
      <c r="F276" s="249" t="s">
        <v>278</v>
      </c>
      <c r="G276" s="216"/>
      <c r="H276" s="216" t="s">
        <v>279</v>
      </c>
      <c r="I276" s="248"/>
      <c r="J276" s="248"/>
      <c r="K276" s="248"/>
      <c r="L276" s="248"/>
      <c r="M276" s="248"/>
      <c r="N276" s="248"/>
      <c r="O276" s="248"/>
      <c r="P276" s="248"/>
      <c r="Q276" s="248"/>
      <c r="R276" s="248"/>
      <c r="S276" s="248"/>
      <c r="T276" s="248"/>
      <c r="U276" s="248"/>
      <c r="V276" s="5"/>
    </row>
    <row r="277" spans="1:22" x14ac:dyDescent="0.35">
      <c r="A277" s="213"/>
      <c r="B277" s="216" t="s">
        <v>97</v>
      </c>
      <c r="C277" s="216"/>
      <c r="D277" s="216"/>
      <c r="E277" s="216"/>
      <c r="F277" s="249" t="s">
        <v>154</v>
      </c>
      <c r="G277" s="216"/>
      <c r="H277" s="216" t="s">
        <v>161</v>
      </c>
      <c r="I277" s="248"/>
      <c r="J277" s="248"/>
      <c r="K277" s="248"/>
      <c r="L277" s="248"/>
      <c r="M277" s="248"/>
      <c r="N277" s="248"/>
      <c r="O277" s="248"/>
      <c r="P277" s="248"/>
      <c r="Q277" s="248"/>
      <c r="R277" s="248"/>
      <c r="S277" s="248"/>
      <c r="T277" s="248"/>
      <c r="U277" s="248"/>
      <c r="V277" s="5"/>
    </row>
    <row r="278" spans="1:22" x14ac:dyDescent="0.35">
      <c r="A278" s="213"/>
      <c r="B278" s="216"/>
      <c r="C278" s="216"/>
      <c r="D278" s="216"/>
      <c r="E278" s="216"/>
      <c r="F278" s="216"/>
      <c r="G278" s="250"/>
      <c r="H278" s="248"/>
      <c r="I278" s="248"/>
      <c r="J278" s="248"/>
      <c r="K278" s="248"/>
      <c r="L278" s="248"/>
      <c r="M278" s="248"/>
      <c r="N278" s="248"/>
      <c r="O278" s="248"/>
      <c r="P278" s="248"/>
      <c r="Q278" s="248"/>
      <c r="R278" s="248"/>
      <c r="S278" s="248"/>
      <c r="T278" s="248"/>
      <c r="U278" s="248"/>
      <c r="V278" s="5"/>
    </row>
    <row r="279" spans="1:22" x14ac:dyDescent="0.35">
      <c r="A279" s="213"/>
      <c r="B279" s="216"/>
      <c r="C279" s="216"/>
      <c r="D279" s="216"/>
      <c r="E279" s="216"/>
      <c r="F279" s="216"/>
      <c r="G279" s="250"/>
      <c r="H279" s="248"/>
      <c r="I279" s="248"/>
      <c r="J279" s="248"/>
      <c r="K279" s="248"/>
      <c r="L279" s="248"/>
      <c r="M279" s="248"/>
      <c r="N279" s="248"/>
      <c r="O279" s="248"/>
      <c r="P279" s="248"/>
      <c r="Q279" s="248"/>
      <c r="R279" s="248"/>
      <c r="S279" s="248"/>
      <c r="T279" s="248"/>
      <c r="U279" s="248"/>
      <c r="V279" s="5"/>
    </row>
    <row r="280" spans="1:22" ht="18" thickBot="1" x14ac:dyDescent="0.4">
      <c r="A280" s="213"/>
      <c r="B280" s="251" t="str">
        <f>B196</f>
        <v>PM10 INVESTOR REPORT QUARTER ENDING MAY 2010</v>
      </c>
      <c r="C280" s="216"/>
      <c r="D280" s="216"/>
      <c r="E280" s="216"/>
      <c r="F280" s="216"/>
      <c r="G280" s="250"/>
      <c r="H280" s="248"/>
      <c r="I280" s="248"/>
      <c r="J280" s="248"/>
      <c r="K280" s="248"/>
      <c r="L280" s="248"/>
      <c r="M280" s="248"/>
      <c r="N280" s="248"/>
      <c r="O280" s="248"/>
      <c r="P280" s="248"/>
      <c r="Q280" s="248"/>
      <c r="R280" s="248"/>
      <c r="S280" s="248"/>
      <c r="T280" s="248"/>
      <c r="U280" s="248"/>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1100-000000000000}"/>
    <hyperlink ref="N232" r:id="rId2" xr:uid="{00000000-0004-0000-1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5" max="14" man="1"/>
    <brk id="196"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2D2926"/>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0.65559999999999996</v>
      </c>
      <c r="R16" s="222" t="s">
        <v>147</v>
      </c>
      <c r="S16" s="221">
        <v>0.34439999999999998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40437</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5"/>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84" t="s">
        <v>223</v>
      </c>
      <c r="C25" s="285"/>
      <c r="D25" s="280" t="s">
        <v>258</v>
      </c>
      <c r="E25" s="280"/>
      <c r="F25" s="280" t="s">
        <v>150</v>
      </c>
      <c r="G25" s="280"/>
      <c r="H25" s="280" t="s">
        <v>150</v>
      </c>
      <c r="I25" s="280"/>
      <c r="J25" s="280" t="s">
        <v>175</v>
      </c>
      <c r="K25" s="280"/>
      <c r="L25" s="280" t="s">
        <v>175</v>
      </c>
      <c r="M25" s="280"/>
      <c r="N25" s="280" t="s">
        <v>151</v>
      </c>
      <c r="O25" s="280"/>
      <c r="P25" s="280" t="s">
        <v>151</v>
      </c>
      <c r="Q25" s="285"/>
      <c r="R25" s="280"/>
      <c r="S25" s="281"/>
      <c r="T25" s="281"/>
      <c r="U25" s="282"/>
      <c r="V25" s="5"/>
    </row>
    <row r="26" spans="1:22" x14ac:dyDescent="0.35">
      <c r="A26" s="283"/>
      <c r="B26" s="286" t="s">
        <v>9</v>
      </c>
      <c r="C26" s="285"/>
      <c r="D26" s="285" t="s">
        <v>256</v>
      </c>
      <c r="E26" s="285"/>
      <c r="F26" s="285" t="s">
        <v>148</v>
      </c>
      <c r="G26" s="285"/>
      <c r="H26" s="285" t="s">
        <v>148</v>
      </c>
      <c r="I26" s="285"/>
      <c r="J26" s="285" t="s">
        <v>198</v>
      </c>
      <c r="K26" s="285"/>
      <c r="L26" s="285" t="s">
        <v>198</v>
      </c>
      <c r="M26" s="285"/>
      <c r="N26" s="285" t="s">
        <v>149</v>
      </c>
      <c r="O26" s="285"/>
      <c r="P26" s="285" t="s">
        <v>149</v>
      </c>
      <c r="Q26" s="285"/>
      <c r="R26" s="280"/>
      <c r="S26" s="281"/>
      <c r="T26" s="281"/>
      <c r="U26" s="282"/>
      <c r="V26" s="5"/>
    </row>
    <row r="27" spans="1:22" x14ac:dyDescent="0.35">
      <c r="A27" s="278"/>
      <c r="B27" s="286" t="s">
        <v>224</v>
      </c>
      <c r="C27" s="280"/>
      <c r="D27" s="285" t="s">
        <v>257</v>
      </c>
      <c r="E27" s="285"/>
      <c r="F27" s="285" t="s">
        <v>150</v>
      </c>
      <c r="G27" s="285"/>
      <c r="H27" s="285" t="s">
        <v>150</v>
      </c>
      <c r="I27" s="285"/>
      <c r="J27" s="285" t="s">
        <v>175</v>
      </c>
      <c r="K27" s="285"/>
      <c r="L27" s="285" t="s">
        <v>175</v>
      </c>
      <c r="M27" s="285"/>
      <c r="N27" s="285" t="s">
        <v>151</v>
      </c>
      <c r="O27" s="285"/>
      <c r="P27" s="285" t="s">
        <v>151</v>
      </c>
      <c r="Q27" s="280"/>
      <c r="R27" s="287"/>
      <c r="S27" s="281"/>
      <c r="T27" s="281"/>
      <c r="U27" s="282"/>
      <c r="V27" s="5"/>
    </row>
    <row r="28" spans="1:22" x14ac:dyDescent="0.35">
      <c r="A28" s="278"/>
      <c r="B28" s="288" t="s">
        <v>225</v>
      </c>
      <c r="C28" s="280"/>
      <c r="D28" s="285" t="s">
        <v>258</v>
      </c>
      <c r="E28" s="285"/>
      <c r="F28" s="285" t="s">
        <v>150</v>
      </c>
      <c r="G28" s="285"/>
      <c r="H28" s="285" t="s">
        <v>150</v>
      </c>
      <c r="I28" s="285"/>
      <c r="J28" s="285" t="s">
        <v>150</v>
      </c>
      <c r="K28" s="285"/>
      <c r="L28" s="285" t="s">
        <v>150</v>
      </c>
      <c r="M28" s="285"/>
      <c r="N28" s="285" t="s">
        <v>151</v>
      </c>
      <c r="O28" s="285"/>
      <c r="P28" s="285"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214687.66</v>
      </c>
      <c r="E32" s="289"/>
      <c r="F32" s="290">
        <v>105000</v>
      </c>
      <c r="G32" s="290"/>
      <c r="H32" s="295">
        <v>222000</v>
      </c>
      <c r="I32" s="290"/>
      <c r="J32" s="290">
        <v>31000</v>
      </c>
      <c r="K32" s="290"/>
      <c r="L32" s="295">
        <v>19500</v>
      </c>
      <c r="M32" s="290"/>
      <c r="N32" s="296">
        <v>51500</v>
      </c>
      <c r="O32" s="290"/>
      <c r="P32" s="295">
        <v>27500</v>
      </c>
      <c r="Q32" s="290"/>
      <c r="R32" s="290"/>
      <c r="S32" s="291"/>
      <c r="T32" s="290"/>
      <c r="U32" s="292"/>
      <c r="V32" s="5"/>
    </row>
    <row r="33" spans="1:22" x14ac:dyDescent="0.35">
      <c r="A33" s="278"/>
      <c r="B33" s="286" t="s">
        <v>141</v>
      </c>
      <c r="C33" s="289"/>
      <c r="D33" s="299">
        <f>D37*D31</f>
        <v>204194.76</v>
      </c>
      <c r="E33" s="293"/>
      <c r="F33" s="297">
        <f>F37*F31</f>
        <v>105000</v>
      </c>
      <c r="G33" s="297"/>
      <c r="H33" s="300">
        <f>H31*H37</f>
        <v>222000</v>
      </c>
      <c r="I33" s="297"/>
      <c r="J33" s="297">
        <f>J31*J37</f>
        <v>31000</v>
      </c>
      <c r="K33" s="297"/>
      <c r="L33" s="300">
        <f>L31*L37</f>
        <v>19500</v>
      </c>
      <c r="M33" s="297"/>
      <c r="N33" s="297">
        <f>N31*N37</f>
        <v>51500</v>
      </c>
      <c r="O33" s="297"/>
      <c r="P33" s="300">
        <f>P31*P37</f>
        <v>27500</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301">
        <f>SUM(C34:P34)</f>
        <v>1000353</v>
      </c>
      <c r="U34" s="292"/>
      <c r="V34" s="5"/>
    </row>
    <row r="35" spans="1:22" x14ac:dyDescent="0.35">
      <c r="A35" s="283"/>
      <c r="B35" s="279" t="s">
        <v>297</v>
      </c>
      <c r="C35" s="302"/>
      <c r="D35" s="290">
        <f>D34*D38</f>
        <v>123171.3849776</v>
      </c>
      <c r="E35" s="289"/>
      <c r="F35" s="290">
        <f>+F36</f>
        <v>105000</v>
      </c>
      <c r="G35" s="290"/>
      <c r="H35" s="290">
        <f>+H36</f>
        <v>150000</v>
      </c>
      <c r="I35" s="290"/>
      <c r="J35" s="290">
        <f>+J36</f>
        <v>31000</v>
      </c>
      <c r="K35" s="290"/>
      <c r="L35" s="290">
        <f>+L36</f>
        <v>13176</v>
      </c>
      <c r="M35" s="290"/>
      <c r="N35" s="290">
        <f>+N36</f>
        <v>51500</v>
      </c>
      <c r="O35" s="290"/>
      <c r="P35" s="290">
        <f>+P36</f>
        <v>18581</v>
      </c>
      <c r="Q35" s="290"/>
      <c r="R35" s="290"/>
      <c r="S35" s="291"/>
      <c r="T35" s="301">
        <f>SUM(C35:P35)</f>
        <v>492428.38497760001</v>
      </c>
      <c r="U35" s="292"/>
      <c r="V35" s="5"/>
    </row>
    <row r="36" spans="1:22" x14ac:dyDescent="0.35">
      <c r="A36" s="283"/>
      <c r="B36" s="286" t="s">
        <v>298</v>
      </c>
      <c r="C36" s="302"/>
      <c r="D36" s="297">
        <f>D37*D34</f>
        <v>117151.3602336</v>
      </c>
      <c r="E36" s="293"/>
      <c r="F36" s="297">
        <f>F37*F34</f>
        <v>105000</v>
      </c>
      <c r="G36" s="297"/>
      <c r="H36" s="297">
        <f>+H34*H37</f>
        <v>150000</v>
      </c>
      <c r="I36" s="297"/>
      <c r="J36" s="297">
        <f>+J34*J37</f>
        <v>31000</v>
      </c>
      <c r="K36" s="297"/>
      <c r="L36" s="297">
        <f>+L34*L37</f>
        <v>13176</v>
      </c>
      <c r="M36" s="297"/>
      <c r="N36" s="297">
        <f>+N34*N37</f>
        <v>51500</v>
      </c>
      <c r="O36" s="297"/>
      <c r="P36" s="297">
        <f>+P34*P37</f>
        <v>18581</v>
      </c>
      <c r="Q36" s="303"/>
      <c r="R36" s="303"/>
      <c r="S36" s="291"/>
      <c r="T36" s="304">
        <f>SUM(C36:P36)</f>
        <v>486408.36023360002</v>
      </c>
      <c r="U36" s="292"/>
      <c r="V36" s="5"/>
    </row>
    <row r="37" spans="1:22" x14ac:dyDescent="0.35">
      <c r="A37" s="305"/>
      <c r="B37" s="306" t="s">
        <v>137</v>
      </c>
      <c r="C37" s="307"/>
      <c r="D37" s="308">
        <v>0.18563160000000001</v>
      </c>
      <c r="E37" s="309"/>
      <c r="F37" s="308">
        <v>1</v>
      </c>
      <c r="G37" s="308"/>
      <c r="H37" s="308">
        <v>1</v>
      </c>
      <c r="I37" s="308"/>
      <c r="J37" s="308">
        <v>1</v>
      </c>
      <c r="K37" s="308"/>
      <c r="L37" s="308">
        <v>1</v>
      </c>
      <c r="M37" s="308"/>
      <c r="N37" s="308">
        <v>1</v>
      </c>
      <c r="O37" s="308"/>
      <c r="P37" s="308">
        <v>1</v>
      </c>
      <c r="Q37" s="310"/>
      <c r="R37" s="310"/>
      <c r="S37" s="311"/>
      <c r="T37" s="311"/>
      <c r="U37" s="312"/>
      <c r="V37" s="5"/>
    </row>
    <row r="38" spans="1:22" x14ac:dyDescent="0.35">
      <c r="A38" s="305"/>
      <c r="B38" s="306" t="s">
        <v>138</v>
      </c>
      <c r="C38" s="307"/>
      <c r="D38" s="308">
        <v>0.1951706</v>
      </c>
      <c r="E38" s="309"/>
      <c r="F38" s="308">
        <v>1</v>
      </c>
      <c r="G38" s="308"/>
      <c r="H38" s="308">
        <v>1</v>
      </c>
      <c r="I38" s="308"/>
      <c r="J38" s="308">
        <v>1</v>
      </c>
      <c r="K38" s="308"/>
      <c r="L38" s="308">
        <v>1</v>
      </c>
      <c r="M38" s="308"/>
      <c r="N38" s="308">
        <v>1</v>
      </c>
      <c r="O38" s="308"/>
      <c r="P38" s="308">
        <v>1</v>
      </c>
      <c r="Q38" s="313"/>
      <c r="R38" s="314"/>
      <c r="S38" s="311"/>
      <c r="T38" s="313"/>
      <c r="U38" s="312"/>
      <c r="V38" s="5"/>
    </row>
    <row r="39" spans="1:22" x14ac:dyDescent="0.35">
      <c r="A39" s="278"/>
      <c r="B39" s="279" t="s">
        <v>11</v>
      </c>
      <c r="C39" s="279"/>
      <c r="D39" s="287" t="s">
        <v>283</v>
      </c>
      <c r="E39" s="279"/>
      <c r="F39" s="287" t="s">
        <v>207</v>
      </c>
      <c r="G39" s="287"/>
      <c r="H39" s="287" t="s">
        <v>207</v>
      </c>
      <c r="I39" s="287"/>
      <c r="J39" s="287" t="s">
        <v>208</v>
      </c>
      <c r="K39" s="287"/>
      <c r="L39" s="287" t="s">
        <v>208</v>
      </c>
      <c r="M39" s="287"/>
      <c r="N39" s="287" t="s">
        <v>209</v>
      </c>
      <c r="O39" s="287"/>
      <c r="P39" s="287" t="s">
        <v>209</v>
      </c>
      <c r="Q39" s="315"/>
      <c r="R39" s="316"/>
      <c r="S39" s="281"/>
      <c r="T39" s="281"/>
      <c r="U39" s="282"/>
      <c r="V39" s="5"/>
    </row>
    <row r="40" spans="1:22" x14ac:dyDescent="0.35">
      <c r="A40" s="278"/>
      <c r="B40" s="279" t="s">
        <v>12</v>
      </c>
      <c r="C40" s="279"/>
      <c r="D40" s="316">
        <v>3.6594000000000002E-3</v>
      </c>
      <c r="E40" s="279"/>
      <c r="F40" s="316">
        <v>8.8999999999999999E-3</v>
      </c>
      <c r="G40" s="315"/>
      <c r="H40" s="316">
        <v>8.7899999999999992E-3</v>
      </c>
      <c r="I40" s="315"/>
      <c r="J40" s="316">
        <v>0.01</v>
      </c>
      <c r="K40" s="315"/>
      <c r="L40" s="316">
        <v>9.8899999999999995E-3</v>
      </c>
      <c r="M40" s="315"/>
      <c r="N40" s="316">
        <v>1.2800000000000001E-2</v>
      </c>
      <c r="O40" s="315"/>
      <c r="P40" s="316">
        <v>1.269E-2</v>
      </c>
      <c r="Q40" s="315"/>
      <c r="R40" s="316"/>
      <c r="S40" s="281"/>
      <c r="T40" s="287"/>
      <c r="U40" s="282"/>
      <c r="V40" s="5"/>
    </row>
    <row r="41" spans="1:22" x14ac:dyDescent="0.35">
      <c r="A41" s="278"/>
      <c r="B41" s="279" t="s">
        <v>13</v>
      </c>
      <c r="C41" s="279"/>
      <c r="D41" s="316">
        <v>4.2687999999999997E-3</v>
      </c>
      <c r="E41" s="279"/>
      <c r="F41" s="316">
        <v>8.0499999999999999E-3</v>
      </c>
      <c r="G41" s="315"/>
      <c r="H41" s="316">
        <v>8.0999999999999996E-3</v>
      </c>
      <c r="I41" s="315"/>
      <c r="J41" s="316">
        <v>9.1500000000000001E-3</v>
      </c>
      <c r="K41" s="315"/>
      <c r="L41" s="316">
        <v>9.1999999999999998E-3</v>
      </c>
      <c r="M41" s="315"/>
      <c r="N41" s="316">
        <v>1.1950000000000001E-2</v>
      </c>
      <c r="O41" s="315"/>
      <c r="P41" s="316">
        <v>1.2E-2</v>
      </c>
      <c r="Q41" s="315"/>
      <c r="R41" s="316"/>
      <c r="S41" s="281"/>
      <c r="T41" s="315" t="s">
        <v>226</v>
      </c>
      <c r="U41" s="282"/>
      <c r="V41" s="5"/>
    </row>
    <row r="42" spans="1:22" x14ac:dyDescent="0.35">
      <c r="A42" s="278"/>
      <c r="B42" s="279" t="s">
        <v>299</v>
      </c>
      <c r="C42" s="279"/>
      <c r="D42" s="287" t="s">
        <v>284</v>
      </c>
      <c r="E42" s="279"/>
      <c r="F42" s="287" t="s">
        <v>207</v>
      </c>
      <c r="G42" s="287"/>
      <c r="H42" s="287" t="s">
        <v>280</v>
      </c>
      <c r="I42" s="287"/>
      <c r="J42" s="287" t="s">
        <v>208</v>
      </c>
      <c r="K42" s="287"/>
      <c r="L42" s="287" t="s">
        <v>281</v>
      </c>
      <c r="M42" s="287"/>
      <c r="N42" s="287" t="s">
        <v>209</v>
      </c>
      <c r="O42" s="287"/>
      <c r="P42" s="287" t="s">
        <v>236</v>
      </c>
      <c r="Q42" s="315"/>
      <c r="R42" s="316"/>
      <c r="S42" s="281"/>
      <c r="T42" s="281"/>
      <c r="U42" s="282"/>
      <c r="V42" s="5"/>
    </row>
    <row r="43" spans="1:22" x14ac:dyDescent="0.35">
      <c r="A43" s="278"/>
      <c r="B43" s="279" t="s">
        <v>300</v>
      </c>
      <c r="C43" s="317"/>
      <c r="D43" s="316">
        <v>8.4556000000000006E-3</v>
      </c>
      <c r="E43" s="279"/>
      <c r="F43" s="316">
        <f>+F40</f>
        <v>8.8999999999999999E-3</v>
      </c>
      <c r="G43" s="315"/>
      <c r="H43" s="316">
        <v>9.1249999999999994E-3</v>
      </c>
      <c r="I43" s="315"/>
      <c r="J43" s="316">
        <f>+J40</f>
        <v>0.01</v>
      </c>
      <c r="K43" s="315"/>
      <c r="L43" s="316">
        <v>1.0364999999999999E-2</v>
      </c>
      <c r="M43" s="315"/>
      <c r="N43" s="316">
        <f>+N40</f>
        <v>1.2800000000000001E-2</v>
      </c>
      <c r="O43" s="315"/>
      <c r="P43" s="316">
        <v>1.3415E-2</v>
      </c>
      <c r="Q43" s="287"/>
      <c r="R43" s="287"/>
      <c r="S43" s="281"/>
      <c r="T43" s="315">
        <f>SUMPRODUCT(D43:P43,D35:P35)/T35</f>
        <v>9.5440706937119004E-3</v>
      </c>
      <c r="U43" s="282"/>
      <c r="V43" s="5"/>
    </row>
    <row r="44" spans="1:22" x14ac:dyDescent="0.35">
      <c r="A44" s="278"/>
      <c r="B44" s="279" t="s">
        <v>301</v>
      </c>
      <c r="C44" s="317"/>
      <c r="D44" s="316">
        <v>7.6055999999999997E-3</v>
      </c>
      <c r="E44" s="279"/>
      <c r="F44" s="316">
        <f>+F41</f>
        <v>8.0499999999999999E-3</v>
      </c>
      <c r="G44" s="315"/>
      <c r="H44" s="316">
        <v>8.2749999999999994E-3</v>
      </c>
      <c r="I44" s="315"/>
      <c r="J44" s="316">
        <f>+J41</f>
        <v>9.1500000000000001E-3</v>
      </c>
      <c r="K44" s="315"/>
      <c r="L44" s="316">
        <v>9.5149999999999992E-3</v>
      </c>
      <c r="M44" s="315"/>
      <c r="N44" s="316">
        <f>+N41</f>
        <v>1.1950000000000001E-2</v>
      </c>
      <c r="O44" s="315"/>
      <c r="P44" s="316">
        <v>1.2565E-2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318"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0.30701755309528006</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40436</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40252</v>
      </c>
      <c r="S57" s="328"/>
      <c r="T57" s="327">
        <v>40343</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40344</v>
      </c>
      <c r="S58" s="328"/>
      <c r="T58" s="327">
        <v>40435</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40422</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306</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260"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492428</v>
      </c>
      <c r="M68" s="332"/>
      <c r="N68" s="332">
        <f>6020+68+18</f>
        <v>6106</v>
      </c>
      <c r="O68" s="332"/>
      <c r="P68" s="332">
        <f>68+18</f>
        <v>86</v>
      </c>
      <c r="Q68" s="332"/>
      <c r="R68" s="332">
        <v>0</v>
      </c>
      <c r="S68" s="332"/>
      <c r="T68" s="333">
        <f>+L68-N68+P68-R68</f>
        <v>486408</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492428</v>
      </c>
      <c r="M71" s="332"/>
      <c r="N71" s="332">
        <f>SUM(N68:N70)</f>
        <v>6106</v>
      </c>
      <c r="O71" s="332"/>
      <c r="P71" s="332">
        <f>SUM(P68:P70)</f>
        <v>86</v>
      </c>
      <c r="Q71" s="332"/>
      <c r="R71" s="332">
        <f>SUM(R68:R70)</f>
        <v>0</v>
      </c>
      <c r="S71" s="332"/>
      <c r="T71" s="332">
        <f>SUM(T68:T70)</f>
        <v>486408</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492428</v>
      </c>
      <c r="M84" s="332"/>
      <c r="N84" s="332"/>
      <c r="O84" s="332"/>
      <c r="P84" s="332"/>
      <c r="Q84" s="332"/>
      <c r="R84" s="332"/>
      <c r="S84" s="332"/>
      <c r="T84" s="332">
        <f>SUM(T71:T83)</f>
        <v>486408</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260" t="s">
        <v>27</v>
      </c>
      <c r="C87" s="260"/>
      <c r="D87" s="260"/>
      <c r="E87" s="260"/>
      <c r="F87" s="260"/>
      <c r="G87" s="260"/>
      <c r="H87" s="261"/>
      <c r="I87" s="261"/>
      <c r="J87" s="262" t="s">
        <v>99</v>
      </c>
      <c r="K87" s="261"/>
      <c r="L87" s="263">
        <f>+R197</f>
        <v>40421</v>
      </c>
      <c r="M87" s="261"/>
      <c r="N87" s="261"/>
      <c r="O87" s="261"/>
      <c r="P87" s="261"/>
      <c r="Q87" s="261"/>
      <c r="R87" s="261" t="s">
        <v>112</v>
      </c>
      <c r="S87" s="261"/>
      <c r="T87" s="261"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6106-579</f>
        <v>5527</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2590+1374-312-212+28</f>
        <v>3468</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166+69</f>
        <v>235</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28</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0</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5527</v>
      </c>
      <c r="S96" s="279"/>
      <c r="T96" s="332">
        <f>SUM(T88:T95)</f>
        <v>3731</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-14</v>
      </c>
      <c r="S97" s="279"/>
      <c r="T97" s="332">
        <v>14</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136</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5513</v>
      </c>
      <c r="S100" s="279"/>
      <c r="T100" s="332">
        <f>T96+T98+T97+T99</f>
        <v>3881</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-188-178-6</f>
        <v>-372</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-562</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-843+236</f>
        <v>-607</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-236</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-34</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-78</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-63</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-166</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-13</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579</v>
      </c>
      <c r="S114" s="279"/>
      <c r="T114" s="333">
        <v>-579</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-188</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-980</v>
      </c>
      <c r="U119" s="282"/>
      <c r="V119" s="5"/>
    </row>
    <row r="120" spans="1:22" x14ac:dyDescent="0.35">
      <c r="A120" s="278"/>
      <c r="B120" s="340"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-4</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-68</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-6020</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0</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0</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0</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-6092</v>
      </c>
      <c r="S131" s="332"/>
      <c r="T131" s="332">
        <f>SUM(T101:T129)</f>
        <v>-3881</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AUGUST 2010</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267"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579</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579</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-579</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486408</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486408</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+'May 10'!Q182</f>
        <v>42578</v>
      </c>
      <c r="R180" s="333">
        <f>+'May 10'!R182</f>
        <v>5971</v>
      </c>
      <c r="S180" s="279"/>
      <c r="T180" s="333">
        <f>Q180+R180</f>
        <v>48549</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68</v>
      </c>
      <c r="R181" s="332">
        <v>0</v>
      </c>
      <c r="S181" s="279"/>
      <c r="T181" s="333">
        <f>Q181+R181</f>
        <v>68</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42646</v>
      </c>
      <c r="R182" s="333">
        <f>R181+R180</f>
        <v>5971</v>
      </c>
      <c r="S182" s="279"/>
      <c r="T182" s="333">
        <f>Q182+R182</f>
        <v>48617</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111439.48000000001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3.4922894424673783</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1.51</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18.758928571428573</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7.39</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8.6855895196506552</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3.77</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AUGUST 2010</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267" t="s">
        <v>72</v>
      </c>
      <c r="C197" s="268"/>
      <c r="D197" s="268"/>
      <c r="E197" s="268"/>
      <c r="F197" s="268"/>
      <c r="G197" s="269"/>
      <c r="H197" s="269"/>
      <c r="I197" s="269"/>
      <c r="J197" s="269"/>
      <c r="K197" s="269"/>
      <c r="L197" s="269"/>
      <c r="M197" s="269"/>
      <c r="N197" s="269"/>
      <c r="O197" s="269"/>
      <c r="P197" s="269"/>
      <c r="Q197" s="269"/>
      <c r="R197" s="269">
        <v>40421</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2.802E-2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9.5440706937119004E-3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1.8475929306288101E-2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7.8813552438122929E-3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16.91</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1.2399782303199656E-2</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0.14879999999999999</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260" t="s">
        <v>81</v>
      </c>
      <c r="C214" s="261"/>
      <c r="D214" s="261"/>
      <c r="E214" s="261"/>
      <c r="F214" s="271"/>
      <c r="G214" s="261"/>
      <c r="H214" s="261"/>
      <c r="I214" s="261"/>
      <c r="J214" s="261"/>
      <c r="K214" s="261"/>
      <c r="L214" s="261"/>
      <c r="M214" s="261"/>
      <c r="N214" s="261"/>
      <c r="O214" s="261"/>
      <c r="P214" s="261"/>
      <c r="Q214" s="261" t="s">
        <v>106</v>
      </c>
      <c r="R214" s="271"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98</v>
      </c>
      <c r="R216" s="358">
        <f>+R268</f>
        <v>15484</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84" t="s">
        <v>87</v>
      </c>
      <c r="C221" s="366"/>
      <c r="D221" s="366"/>
      <c r="E221" s="366"/>
      <c r="F221" s="366"/>
      <c r="G221" s="307"/>
      <c r="H221" s="307"/>
      <c r="I221" s="307"/>
      <c r="J221" s="307"/>
      <c r="K221" s="307"/>
      <c r="L221" s="307"/>
      <c r="M221" s="307"/>
      <c r="N221" s="307"/>
      <c r="O221" s="307"/>
      <c r="P221" s="307"/>
      <c r="Q221" s="287"/>
      <c r="R221" s="358">
        <f>+T165</f>
        <v>579</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'May 10'!R222+R221</f>
        <v>4493</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10</v>
      </c>
      <c r="R228" s="358">
        <v>1615</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12.03</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260" t="s">
        <v>307</v>
      </c>
      <c r="C234" s="261"/>
      <c r="D234" s="261"/>
      <c r="E234" s="261"/>
      <c r="F234" s="271"/>
      <c r="G234" s="261"/>
      <c r="H234" s="261"/>
      <c r="I234" s="261"/>
      <c r="J234" s="261"/>
      <c r="K234" s="261"/>
      <c r="L234" s="261"/>
      <c r="M234" s="261"/>
      <c r="N234" s="261"/>
      <c r="O234" s="261"/>
      <c r="P234" s="271" t="s">
        <v>106</v>
      </c>
      <c r="Q234" s="261" t="s">
        <v>107</v>
      </c>
      <c r="R234" s="271" t="s">
        <v>115</v>
      </c>
      <c r="S234" s="261" t="s">
        <v>107</v>
      </c>
      <c r="T234" s="253"/>
      <c r="U234" s="260"/>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3527</v>
      </c>
      <c r="Q235" s="378">
        <f t="shared" ref="Q235:Q242" si="2">P235/$P$244</f>
        <v>0.97999444290080573</v>
      </c>
      <c r="R235" s="237">
        <f t="shared" ref="R235:R242" si="3">+R247+R259+R271</f>
        <v>474542</v>
      </c>
      <c r="S235" s="378">
        <f t="shared" ref="S235:S242" si="4">R235/$R$244</f>
        <v>0.97560484202562459</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32</v>
      </c>
      <c r="Q236" s="378">
        <f t="shared" si="2"/>
        <v>8.8913587107529862E-3</v>
      </c>
      <c r="R236" s="333">
        <f t="shared" si="3"/>
        <v>5851</v>
      </c>
      <c r="S236" s="378">
        <f t="shared" si="4"/>
        <v>1.2028996233614579E-2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11</v>
      </c>
      <c r="Q237" s="378">
        <f t="shared" si="2"/>
        <v>3.0564045568213394E-3</v>
      </c>
      <c r="R237" s="333">
        <f t="shared" si="3"/>
        <v>1651</v>
      </c>
      <c r="S237" s="378">
        <f t="shared" si="4"/>
        <v>3.3942698310883046E-3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6</v>
      </c>
      <c r="Q238" s="378">
        <f t="shared" si="2"/>
        <v>1.6671297582661851E-3</v>
      </c>
      <c r="R238" s="333">
        <f t="shared" si="3"/>
        <v>980</v>
      </c>
      <c r="S238" s="378">
        <f t="shared" si="4"/>
        <v>2.0147694939227972E-3</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2</v>
      </c>
      <c r="Q239" s="378">
        <f t="shared" si="2"/>
        <v>5.5570991942206164E-4</v>
      </c>
      <c r="R239" s="333">
        <f t="shared" si="3"/>
        <v>200</v>
      </c>
      <c r="S239" s="378">
        <f t="shared" si="4"/>
        <v>4.111774477393464E-4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1</v>
      </c>
      <c r="Q240" s="378">
        <f t="shared" si="2"/>
        <v>2.7785495971103082E-4</v>
      </c>
      <c r="R240" s="333">
        <f t="shared" si="3"/>
        <v>162</v>
      </c>
      <c r="S240" s="378">
        <f t="shared" si="4"/>
        <v>3.330537326688706E-4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8</v>
      </c>
      <c r="Q241" s="378">
        <f t="shared" si="2"/>
        <v>2.2228396776882466E-3</v>
      </c>
      <c r="R241" s="333">
        <f t="shared" si="3"/>
        <v>1207</v>
      </c>
      <c r="S241" s="378">
        <f t="shared" si="4"/>
        <v>2.4814558971069556E-3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12</v>
      </c>
      <c r="Q242" s="378">
        <f t="shared" si="2"/>
        <v>3.3342595165323703E-3</v>
      </c>
      <c r="R242" s="333">
        <f t="shared" si="3"/>
        <v>1815</v>
      </c>
      <c r="S242" s="383">
        <f t="shared" si="4"/>
        <v>3.7314353382345684E-3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3599</v>
      </c>
      <c r="Q244" s="378">
        <f>SUM(Q235:Q243)</f>
        <v>0.99999999999999989</v>
      </c>
      <c r="R244" s="333">
        <f>SUM(R235:R243)</f>
        <v>486408</v>
      </c>
      <c r="S244" s="378">
        <f>SUM(S235:S243)</f>
        <v>0.99999999999999989</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260" t="s">
        <v>171</v>
      </c>
      <c r="C246" s="261"/>
      <c r="D246" s="261"/>
      <c r="E246" s="261"/>
      <c r="F246" s="271"/>
      <c r="G246" s="261"/>
      <c r="H246" s="261"/>
      <c r="I246" s="261"/>
      <c r="J246" s="261"/>
      <c r="K246" s="261"/>
      <c r="L246" s="261"/>
      <c r="M246" s="261"/>
      <c r="N246" s="261"/>
      <c r="O246" s="261"/>
      <c r="P246" s="271" t="s">
        <v>106</v>
      </c>
      <c r="Q246" s="261" t="s">
        <v>107</v>
      </c>
      <c r="R246" s="271" t="s">
        <v>115</v>
      </c>
      <c r="S246" s="261" t="s">
        <v>107</v>
      </c>
      <c r="T246" s="253"/>
      <c r="U246" s="260"/>
      <c r="V246" s="5"/>
    </row>
    <row r="247" spans="1:23" x14ac:dyDescent="0.35">
      <c r="A247" s="190"/>
      <c r="B247" s="227" t="s">
        <v>92</v>
      </c>
      <c r="C247" s="243"/>
      <c r="D247" s="243"/>
      <c r="E247" s="243"/>
      <c r="F247" s="224"/>
      <c r="G247" s="243"/>
      <c r="H247" s="243"/>
      <c r="I247" s="243"/>
      <c r="J247" s="243"/>
      <c r="K247" s="243"/>
      <c r="L247" s="243"/>
      <c r="M247" s="243"/>
      <c r="N247" s="243"/>
      <c r="O247" s="243"/>
      <c r="P247" s="227">
        <v>3461</v>
      </c>
      <c r="Q247" s="244">
        <f t="shared" ref="Q247:Q254" si="5">P247/$P$256</f>
        <v>0.98857469294487288</v>
      </c>
      <c r="R247" s="237">
        <v>463873</v>
      </c>
      <c r="S247" s="244">
        <f t="shared" ref="S247:S254" si="6">R247/$R$256</f>
        <v>0.9850273080157308</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31</v>
      </c>
      <c r="Q248" s="378">
        <f t="shared" si="5"/>
        <v>8.8546129677235068E-3</v>
      </c>
      <c r="R248" s="333">
        <v>5697</v>
      </c>
      <c r="S248" s="378">
        <f t="shared" si="6"/>
        <v>1.2097493438431679E-2</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7</v>
      </c>
      <c r="Q249" s="378">
        <f t="shared" si="5"/>
        <v>1.9994287346472438E-3</v>
      </c>
      <c r="R249" s="333">
        <v>1091</v>
      </c>
      <c r="S249" s="378">
        <f t="shared" si="6"/>
        <v>2.3167220188395582E-3</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2</v>
      </c>
      <c r="Q250" s="378">
        <f t="shared" si="5"/>
        <v>5.7126535275635532E-4</v>
      </c>
      <c r="R250" s="333">
        <v>263</v>
      </c>
      <c r="S250" s="378">
        <f t="shared" si="6"/>
        <v>5.5847652699798694E-4</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3501</v>
      </c>
      <c r="Q256" s="378">
        <f>SUM(Q247:Q255)</f>
        <v>0.99999999999999989</v>
      </c>
      <c r="R256" s="333">
        <f>SUM(R247:R255)</f>
        <v>470924</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260" t="s">
        <v>275</v>
      </c>
      <c r="C258" s="261"/>
      <c r="D258" s="261"/>
      <c r="E258" s="261"/>
      <c r="F258" s="271"/>
      <c r="G258" s="261"/>
      <c r="H258" s="261"/>
      <c r="I258" s="261"/>
      <c r="J258" s="261"/>
      <c r="K258" s="261"/>
      <c r="L258" s="261"/>
      <c r="M258" s="261"/>
      <c r="N258" s="261"/>
      <c r="O258" s="261"/>
      <c r="P258" s="271" t="s">
        <v>106</v>
      </c>
      <c r="Q258" s="261" t="s">
        <v>107</v>
      </c>
      <c r="R258" s="271" t="s">
        <v>115</v>
      </c>
      <c r="S258" s="261"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66</v>
      </c>
      <c r="Q259" s="244">
        <f t="shared" ref="Q259:Q266" si="7">P259/$P$268</f>
        <v>0.67346938775510201</v>
      </c>
      <c r="R259" s="237">
        <v>10669</v>
      </c>
      <c r="S259" s="244">
        <f t="shared" ref="S259:S266" si="8">R259/$R$268</f>
        <v>0.68903384138465518</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1</v>
      </c>
      <c r="Q260" s="378">
        <f t="shared" si="7"/>
        <v>1.020408163265306E-2</v>
      </c>
      <c r="R260" s="333">
        <v>154</v>
      </c>
      <c r="S260" s="378">
        <f t="shared" si="8"/>
        <v>9.9457504520795662E-3</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4</v>
      </c>
      <c r="Q261" s="378">
        <f t="shared" si="7"/>
        <v>4.0816326530612242E-2</v>
      </c>
      <c r="R261" s="333">
        <v>560</v>
      </c>
      <c r="S261" s="378">
        <f t="shared" si="8"/>
        <v>3.6166365280289332E-2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4</v>
      </c>
      <c r="Q262" s="378">
        <f t="shared" si="7"/>
        <v>4.0816326530612242E-2</v>
      </c>
      <c r="R262" s="333">
        <v>717</v>
      </c>
      <c r="S262" s="378">
        <f t="shared" si="8"/>
        <v>4.6305864117799016E-2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2</v>
      </c>
      <c r="Q263" s="378">
        <f t="shared" si="7"/>
        <v>2.0408163265306121E-2</v>
      </c>
      <c r="R263" s="333">
        <v>200</v>
      </c>
      <c r="S263" s="378">
        <f t="shared" si="8"/>
        <v>1.2916559028674762E-2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1</v>
      </c>
      <c r="Q264" s="378">
        <f t="shared" si="7"/>
        <v>1.020408163265306E-2</v>
      </c>
      <c r="R264" s="333">
        <v>162</v>
      </c>
      <c r="S264" s="378">
        <f t="shared" si="8"/>
        <v>1.0462412813226556E-2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8</v>
      </c>
      <c r="Q265" s="378">
        <f t="shared" si="7"/>
        <v>8.1632653061224483E-2</v>
      </c>
      <c r="R265" s="333">
        <v>1207</v>
      </c>
      <c r="S265" s="378">
        <f t="shared" si="8"/>
        <v>7.7951433738052189E-2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12</v>
      </c>
      <c r="Q266" s="378">
        <f t="shared" si="7"/>
        <v>0.12244897959183673</v>
      </c>
      <c r="R266" s="333">
        <v>1815</v>
      </c>
      <c r="S266" s="378">
        <f t="shared" si="8"/>
        <v>0.11721777318522346</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98</v>
      </c>
      <c r="Q268" s="378">
        <f>SUM(Q259:Q267)</f>
        <v>1</v>
      </c>
      <c r="R268" s="333">
        <f>SUM(R259:R267)</f>
        <v>15484</v>
      </c>
      <c r="S268" s="378">
        <f>SUM(S259:S267)</f>
        <v>1.0000000000000002</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260" t="s">
        <v>173</v>
      </c>
      <c r="C270" s="273"/>
      <c r="D270" s="273"/>
      <c r="E270" s="273"/>
      <c r="F270" s="273"/>
      <c r="G270" s="273"/>
      <c r="H270" s="275"/>
      <c r="I270" s="275"/>
      <c r="J270" s="275"/>
      <c r="K270" s="275"/>
      <c r="L270" s="275"/>
      <c r="M270" s="275"/>
      <c r="N270" s="275"/>
      <c r="O270" s="275"/>
      <c r="P270" s="271" t="s">
        <v>106</v>
      </c>
      <c r="Q270" s="261" t="s">
        <v>107</v>
      </c>
      <c r="R270" s="271" t="s">
        <v>115</v>
      </c>
      <c r="S270" s="261"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8" t="s">
        <v>174</v>
      </c>
      <c r="C282" s="279"/>
      <c r="D282" s="279"/>
      <c r="E282" s="279"/>
      <c r="F282" s="279"/>
      <c r="G282" s="279"/>
      <c r="H282" s="380"/>
      <c r="I282" s="380"/>
      <c r="J282" s="380"/>
      <c r="K282" s="380"/>
      <c r="L282" s="380"/>
      <c r="M282" s="380"/>
      <c r="N282" s="380"/>
      <c r="O282" s="380"/>
      <c r="P282" s="381">
        <f>P280+P268+P256</f>
        <v>3599</v>
      </c>
      <c r="Q282" s="378"/>
      <c r="R282" s="382">
        <f>+R280+R268+R256</f>
        <v>486408</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AUGUST 2010</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phoneticPr fontId="0" type="noConversion"/>
  <hyperlinks>
    <hyperlink ref="J9" r:id="rId1" xr:uid="{00000000-0004-0000-1200-000000000000}"/>
    <hyperlink ref="N232" r:id="rId2" xr:uid="{00000000-0004-0000-1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9CB31"/>
  </sheetPr>
  <dimension ref="A1:W279"/>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0.49249999999999999</v>
      </c>
      <c r="R16" s="17" t="s">
        <v>147</v>
      </c>
      <c r="S16" s="138">
        <v>0.50749999999999995</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38888</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v>1081015</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1059969.9000000001</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620203.91413599998</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989460.91413599998</v>
      </c>
      <c r="U35" s="34"/>
      <c r="V35" s="5"/>
    </row>
    <row r="36" spans="1:22" x14ac:dyDescent="0.35">
      <c r="A36" s="28"/>
      <c r="B36" s="29" t="s">
        <v>298</v>
      </c>
      <c r="C36" s="126"/>
      <c r="D36" s="35">
        <f>D37*D34</f>
        <v>608129.78546400007</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977386.78546400007</v>
      </c>
      <c r="U36" s="34"/>
      <c r="V36" s="5"/>
    </row>
    <row r="37" spans="1:22" x14ac:dyDescent="0.35">
      <c r="A37" s="24"/>
      <c r="B37" s="122" t="s">
        <v>137</v>
      </c>
      <c r="C37" s="25"/>
      <c r="D37" s="136">
        <v>0.96360900000000005</v>
      </c>
      <c r="E37" s="137"/>
      <c r="F37" s="136">
        <v>1</v>
      </c>
      <c r="G37" s="136"/>
      <c r="H37" s="136">
        <v>1</v>
      </c>
      <c r="I37" s="136"/>
      <c r="J37" s="136">
        <v>1</v>
      </c>
      <c r="K37" s="136"/>
      <c r="L37" s="136">
        <v>1</v>
      </c>
      <c r="M37" s="136"/>
      <c r="N37" s="136">
        <v>1</v>
      </c>
      <c r="O37" s="136"/>
      <c r="P37" s="136">
        <v>1</v>
      </c>
      <c r="Q37" s="30"/>
      <c r="R37" s="30"/>
      <c r="S37" s="164"/>
      <c r="T37" s="164"/>
      <c r="U37" s="25"/>
      <c r="V37" s="5"/>
    </row>
    <row r="38" spans="1:22" x14ac:dyDescent="0.35">
      <c r="A38" s="24"/>
      <c r="B38" s="122" t="s">
        <v>138</v>
      </c>
      <c r="C38" s="25"/>
      <c r="D38" s="136">
        <v>0.98274099999999998</v>
      </c>
      <c r="E38" s="137"/>
      <c r="F38" s="136">
        <v>1</v>
      </c>
      <c r="G38" s="136"/>
      <c r="H38" s="136">
        <v>1</v>
      </c>
      <c r="I38" s="136"/>
      <c r="J38" s="136">
        <v>1</v>
      </c>
      <c r="K38" s="136"/>
      <c r="L38" s="136">
        <v>1</v>
      </c>
      <c r="M38" s="136"/>
      <c r="N38" s="136">
        <v>1</v>
      </c>
      <c r="O38" s="136"/>
      <c r="P38" s="136">
        <v>1</v>
      </c>
      <c r="Q38" s="39"/>
      <c r="R38" s="38"/>
      <c r="S38" s="164"/>
      <c r="T38" s="39"/>
      <c r="U38" s="25"/>
      <c r="V38" s="5"/>
    </row>
    <row r="39" spans="1:22" x14ac:dyDescent="0.35">
      <c r="A39" s="24"/>
      <c r="B39" s="25" t="s">
        <v>11</v>
      </c>
      <c r="C39" s="25"/>
      <c r="D39" s="30" t="s">
        <v>237</v>
      </c>
      <c r="E39" s="25"/>
      <c r="F39" s="30" t="s">
        <v>207</v>
      </c>
      <c r="G39" s="30"/>
      <c r="H39" s="30" t="s">
        <v>207</v>
      </c>
      <c r="I39" s="30"/>
      <c r="J39" s="30" t="s">
        <v>207</v>
      </c>
      <c r="K39" s="30"/>
      <c r="L39" s="30" t="s">
        <v>208</v>
      </c>
      <c r="M39" s="30"/>
      <c r="N39" s="30" t="s">
        <v>209</v>
      </c>
      <c r="O39" s="30"/>
      <c r="P39" s="30" t="s">
        <v>209</v>
      </c>
      <c r="Q39" s="39"/>
      <c r="R39" s="38"/>
      <c r="S39" s="164"/>
      <c r="T39" s="164"/>
      <c r="U39" s="25"/>
      <c r="V39" s="5"/>
    </row>
    <row r="40" spans="1:22" x14ac:dyDescent="0.35">
      <c r="A40" s="24"/>
      <c r="B40" s="25" t="s">
        <v>12</v>
      </c>
      <c r="C40" s="25"/>
      <c r="D40" s="38">
        <v>5.0806299999999999E-2</v>
      </c>
      <c r="E40" s="25"/>
      <c r="F40" s="38">
        <v>4.7421900000000003E-2</v>
      </c>
      <c r="G40" s="39"/>
      <c r="H40" s="38">
        <v>2.861E-2</v>
      </c>
      <c r="I40" s="39"/>
      <c r="J40" s="38">
        <v>4.85219E-2</v>
      </c>
      <c r="K40" s="39"/>
      <c r="L40" s="38">
        <v>2.971E-2</v>
      </c>
      <c r="M40" s="39"/>
      <c r="N40" s="38">
        <v>5.1321899999999997E-2</v>
      </c>
      <c r="O40" s="39"/>
      <c r="P40" s="38">
        <v>3.2509999999999997E-2</v>
      </c>
      <c r="Q40" s="39"/>
      <c r="R40" s="38"/>
      <c r="S40" s="164"/>
      <c r="T40" s="30"/>
      <c r="U40" s="25"/>
      <c r="V40" s="5"/>
    </row>
    <row r="41" spans="1:22" x14ac:dyDescent="0.35">
      <c r="A41" s="24"/>
      <c r="B41" s="25" t="s">
        <v>13</v>
      </c>
      <c r="C41" s="25"/>
      <c r="D41" s="38">
        <v>4.5699999999999998E-2</v>
      </c>
      <c r="E41" s="25"/>
      <c r="F41" s="38">
        <v>4.7839800000000002E-2</v>
      </c>
      <c r="G41" s="39"/>
      <c r="H41" s="38">
        <v>2.5579999999999999E-2</v>
      </c>
      <c r="I41" s="39"/>
      <c r="J41" s="38">
        <v>4.8939799999999999E-2</v>
      </c>
      <c r="K41" s="39"/>
      <c r="L41" s="38">
        <v>2.6679999999999999E-2</v>
      </c>
      <c r="M41" s="39"/>
      <c r="N41" s="38">
        <v>5.1739800000000002E-2</v>
      </c>
      <c r="O41" s="39"/>
      <c r="P41" s="38">
        <v>2.9479999999999999E-2</v>
      </c>
      <c r="Q41" s="39"/>
      <c r="R41" s="38"/>
      <c r="S41" s="164"/>
      <c r="T41" s="39" t="s">
        <v>226</v>
      </c>
      <c r="U41" s="25"/>
      <c r="V41" s="5"/>
    </row>
    <row r="42" spans="1:22" x14ac:dyDescent="0.35">
      <c r="A42" s="24"/>
      <c r="B42" s="25" t="s">
        <v>299</v>
      </c>
      <c r="C42" s="25"/>
      <c r="D42" s="30" t="s">
        <v>235</v>
      </c>
      <c r="E42" s="25"/>
      <c r="F42" s="30" t="s">
        <v>207</v>
      </c>
      <c r="G42" s="30"/>
      <c r="H42" s="30" t="s">
        <v>280</v>
      </c>
      <c r="I42" s="30"/>
      <c r="J42" s="30" t="s">
        <v>207</v>
      </c>
      <c r="K42" s="30"/>
      <c r="L42" s="30" t="s">
        <v>281</v>
      </c>
      <c r="M42" s="30"/>
      <c r="N42" s="30" t="s">
        <v>209</v>
      </c>
      <c r="O42" s="30"/>
      <c r="P42" s="30" t="s">
        <v>236</v>
      </c>
      <c r="Q42" s="39"/>
      <c r="R42" s="38"/>
      <c r="S42" s="164"/>
      <c r="T42" s="164"/>
      <c r="U42" s="25"/>
      <c r="V42" s="5"/>
    </row>
    <row r="43" spans="1:22" x14ac:dyDescent="0.35">
      <c r="A43" s="24"/>
      <c r="B43" s="25" t="s">
        <v>300</v>
      </c>
      <c r="C43" s="110"/>
      <c r="D43" s="38">
        <v>4.6064899999999999E-2</v>
      </c>
      <c r="E43" s="25"/>
      <c r="F43" s="38">
        <v>4.7421900000000003E-2</v>
      </c>
      <c r="G43" s="39"/>
      <c r="H43" s="38">
        <v>4.7646899999999999E-2</v>
      </c>
      <c r="I43" s="39"/>
      <c r="J43" s="38">
        <v>4.85219E-2</v>
      </c>
      <c r="K43" s="39"/>
      <c r="L43" s="38">
        <v>4.8886899999999997E-2</v>
      </c>
      <c r="M43" s="39"/>
      <c r="N43" s="38">
        <v>5.1321899999999997E-2</v>
      </c>
      <c r="O43" s="39"/>
      <c r="P43" s="38">
        <v>5.1936900000000001E-2</v>
      </c>
      <c r="Q43" s="30"/>
      <c r="R43" s="30"/>
      <c r="S43" s="164"/>
      <c r="T43" s="39">
        <f>SUMPRODUCT(D43:P43,D35:P35)/T35</f>
        <v>4.6947176188506426E-2</v>
      </c>
      <c r="U43" s="25"/>
      <c r="V43" s="5"/>
    </row>
    <row r="44" spans="1:22" x14ac:dyDescent="0.35">
      <c r="A44" s="24"/>
      <c r="B44" s="25" t="s">
        <v>301</v>
      </c>
      <c r="C44" s="110"/>
      <c r="D44" s="38">
        <v>4.6482799999999998E-2</v>
      </c>
      <c r="E44" s="25"/>
      <c r="F44" s="38">
        <v>4.7839800000000002E-2</v>
      </c>
      <c r="G44" s="39"/>
      <c r="H44" s="38">
        <v>4.8064799999999998E-2</v>
      </c>
      <c r="I44" s="39"/>
      <c r="J44" s="38">
        <v>4.8939799999999999E-2</v>
      </c>
      <c r="K44" s="39"/>
      <c r="L44" s="38">
        <v>4.9304800000000003E-2</v>
      </c>
      <c r="M44" s="39"/>
      <c r="N44" s="38">
        <v>5.1739800000000002E-2</v>
      </c>
      <c r="O44" s="39"/>
      <c r="P44" s="38">
        <v>5.23548E-2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0.13237522551556702</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38883</v>
      </c>
      <c r="U56" s="25"/>
      <c r="V56" s="5"/>
    </row>
    <row r="57" spans="1:23" x14ac:dyDescent="0.35">
      <c r="A57" s="24"/>
      <c r="B57" s="25" t="s">
        <v>128</v>
      </c>
      <c r="C57" s="25"/>
      <c r="D57" s="25"/>
      <c r="E57" s="25"/>
      <c r="F57" s="25"/>
      <c r="G57" s="25"/>
      <c r="H57" s="58"/>
      <c r="I57" s="58"/>
      <c r="J57" s="58"/>
      <c r="K57" s="58"/>
      <c r="L57" s="58"/>
      <c r="M57" s="58"/>
      <c r="N57" s="58"/>
      <c r="O57" s="58"/>
      <c r="P57" s="25">
        <f>+T57-R57+1</f>
        <v>118</v>
      </c>
      <c r="Q57" s="25"/>
      <c r="R57" s="45">
        <v>38673</v>
      </c>
      <c r="S57" s="46"/>
      <c r="T57" s="45">
        <v>38790</v>
      </c>
      <c r="U57" s="25"/>
      <c r="V57" s="5"/>
    </row>
    <row r="58" spans="1:23" x14ac:dyDescent="0.35">
      <c r="A58" s="24"/>
      <c r="B58" s="25" t="s">
        <v>129</v>
      </c>
      <c r="C58" s="25"/>
      <c r="D58" s="25"/>
      <c r="E58" s="25"/>
      <c r="F58" s="25"/>
      <c r="G58" s="25"/>
      <c r="H58" s="25"/>
      <c r="I58" s="25"/>
      <c r="J58" s="25"/>
      <c r="K58" s="25"/>
      <c r="L58" s="25"/>
      <c r="M58" s="25"/>
      <c r="N58" s="25"/>
      <c r="O58" s="25"/>
      <c r="P58" s="25">
        <f>+T58-R58+1</f>
        <v>92</v>
      </c>
      <c r="Q58" s="25"/>
      <c r="R58" s="45">
        <v>38791</v>
      </c>
      <c r="S58" s="46"/>
      <c r="T58" s="45">
        <v>38882</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38869</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263</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989461</v>
      </c>
      <c r="M69" s="34"/>
      <c r="N69" s="34">
        <f>12074+4919+430</f>
        <v>17423</v>
      </c>
      <c r="O69" s="34"/>
      <c r="P69" s="34">
        <f>5349</f>
        <v>5349</v>
      </c>
      <c r="Q69" s="34"/>
      <c r="R69" s="34">
        <v>0</v>
      </c>
      <c r="S69" s="34"/>
      <c r="T69" s="53">
        <f>+L69-N69+P69-R69</f>
        <v>977387</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989461</v>
      </c>
      <c r="M72" s="34"/>
      <c r="N72" s="34">
        <f>SUM(N69:N71)</f>
        <v>17423</v>
      </c>
      <c r="O72" s="34"/>
      <c r="P72" s="34">
        <f>SUM(P69:P71)</f>
        <v>5349</v>
      </c>
      <c r="Q72" s="34"/>
      <c r="R72" s="34">
        <f>SUM(R69:R71)</f>
        <v>0</v>
      </c>
      <c r="S72" s="34"/>
      <c r="T72" s="54">
        <f>SUM(T69:T71)</f>
        <v>977387</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v>0</v>
      </c>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989461</v>
      </c>
      <c r="M85" s="34"/>
      <c r="N85" s="34"/>
      <c r="O85" s="34"/>
      <c r="P85" s="34"/>
      <c r="Q85" s="34"/>
      <c r="R85" s="54"/>
      <c r="S85" s="34"/>
      <c r="T85" s="54">
        <f>SUM(T72:T84)</f>
        <v>977387</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+R195</f>
        <v>38868</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17423</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7417+6225-770-298+144</f>
        <v>12718</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186+147</f>
        <v>333</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316</v>
      </c>
      <c r="U93" s="25"/>
      <c r="V93" s="5"/>
    </row>
    <row r="94" spans="1:22" x14ac:dyDescent="0.35">
      <c r="A94" s="24"/>
      <c r="B94" s="25" t="s">
        <v>142</v>
      </c>
      <c r="C94" s="25"/>
      <c r="D94" s="25"/>
      <c r="E94" s="25"/>
      <c r="F94" s="25"/>
      <c r="G94" s="25"/>
      <c r="H94" s="25"/>
      <c r="I94" s="25"/>
      <c r="J94" s="25"/>
      <c r="K94" s="25"/>
      <c r="L94" s="25"/>
      <c r="M94" s="25"/>
      <c r="N94" s="25"/>
      <c r="O94" s="25"/>
      <c r="P94" s="25"/>
      <c r="Q94" s="25"/>
      <c r="R94" s="34"/>
      <c r="S94" s="25"/>
      <c r="T94" s="53">
        <v>0</v>
      </c>
      <c r="U94" s="25"/>
      <c r="V94" s="5"/>
    </row>
    <row r="95" spans="1:22" x14ac:dyDescent="0.35">
      <c r="A95" s="24"/>
      <c r="B95" s="25" t="s">
        <v>234</v>
      </c>
      <c r="C95" s="25"/>
      <c r="D95" s="25"/>
      <c r="E95" s="25"/>
      <c r="F95" s="25"/>
      <c r="G95" s="25"/>
      <c r="H95" s="25"/>
      <c r="I95" s="25"/>
      <c r="J95" s="25"/>
      <c r="K95" s="25"/>
      <c r="L95" s="25"/>
      <c r="M95" s="25"/>
      <c r="N95" s="25"/>
      <c r="O95" s="25"/>
      <c r="P95" s="25"/>
      <c r="Q95" s="25"/>
      <c r="R95" s="34"/>
      <c r="S95" s="25"/>
      <c r="T95" s="53">
        <v>1385</v>
      </c>
      <c r="U95" s="25"/>
      <c r="V95" s="5"/>
    </row>
    <row r="96" spans="1:22" x14ac:dyDescent="0.35">
      <c r="A96" s="24"/>
      <c r="B96" s="25" t="s">
        <v>30</v>
      </c>
      <c r="C96" s="25"/>
      <c r="D96" s="25"/>
      <c r="E96" s="25"/>
      <c r="F96" s="25"/>
      <c r="G96" s="25"/>
      <c r="H96" s="25"/>
      <c r="I96" s="25"/>
      <c r="J96" s="25"/>
      <c r="K96" s="25"/>
      <c r="L96" s="25"/>
      <c r="M96" s="25"/>
      <c r="N96" s="25"/>
      <c r="O96" s="25"/>
      <c r="P96" s="25"/>
      <c r="Q96" s="25"/>
      <c r="R96" s="34">
        <f>SUM(R89:R95)</f>
        <v>17423</v>
      </c>
      <c r="S96" s="25"/>
      <c r="T96" s="54">
        <f>SUM(T89:T95)</f>
        <v>14752</v>
      </c>
      <c r="U96" s="25"/>
      <c r="V96" s="5"/>
    </row>
    <row r="97" spans="1:23" x14ac:dyDescent="0.35">
      <c r="A97" s="24"/>
      <c r="B97" s="25" t="s">
        <v>170</v>
      </c>
      <c r="C97" s="25"/>
      <c r="D97" s="25"/>
      <c r="E97" s="25"/>
      <c r="F97" s="25"/>
      <c r="G97" s="25"/>
      <c r="H97" s="25"/>
      <c r="I97" s="25"/>
      <c r="J97" s="25"/>
      <c r="K97" s="25"/>
      <c r="L97" s="25"/>
      <c r="M97" s="25"/>
      <c r="N97" s="25"/>
      <c r="O97" s="25"/>
      <c r="P97" s="25"/>
      <c r="Q97" s="25"/>
      <c r="R97" s="34">
        <f>-T97</f>
        <v>-31</v>
      </c>
      <c r="S97" s="25"/>
      <c r="T97" s="54">
        <v>31</v>
      </c>
      <c r="U97" s="25"/>
      <c r="V97" s="5"/>
    </row>
    <row r="98" spans="1:23" x14ac:dyDescent="0.35">
      <c r="A98" s="24"/>
      <c r="B98" s="25" t="s">
        <v>31</v>
      </c>
      <c r="C98" s="25"/>
      <c r="D98" s="25"/>
      <c r="E98" s="25"/>
      <c r="F98" s="25"/>
      <c r="G98" s="25"/>
      <c r="H98" s="25"/>
      <c r="I98" s="25"/>
      <c r="J98" s="25"/>
      <c r="K98" s="25"/>
      <c r="L98" s="25"/>
      <c r="M98" s="25"/>
      <c r="N98" s="25"/>
      <c r="O98" s="25"/>
      <c r="P98" s="25"/>
      <c r="Q98" s="25"/>
      <c r="R98" s="34">
        <f>-T98</f>
        <v>0</v>
      </c>
      <c r="S98" s="25"/>
      <c r="T98" s="53">
        <v>0</v>
      </c>
      <c r="U98" s="25"/>
      <c r="V98" s="5"/>
    </row>
    <row r="99" spans="1:23" x14ac:dyDescent="0.35">
      <c r="A99" s="24"/>
      <c r="B99" s="25" t="s">
        <v>32</v>
      </c>
      <c r="C99" s="25"/>
      <c r="D99" s="25"/>
      <c r="E99" s="25"/>
      <c r="F99" s="25"/>
      <c r="G99" s="25"/>
      <c r="H99" s="25"/>
      <c r="I99" s="25"/>
      <c r="J99" s="25"/>
      <c r="K99" s="25"/>
      <c r="L99" s="25"/>
      <c r="M99" s="25"/>
      <c r="N99" s="25"/>
      <c r="O99" s="25"/>
      <c r="P99" s="25"/>
      <c r="Q99" s="25"/>
      <c r="R99" s="34">
        <f>R96+R98+R97</f>
        <v>17392</v>
      </c>
      <c r="S99" s="25"/>
      <c r="T99" s="54">
        <f>T96+T98+T97</f>
        <v>14783</v>
      </c>
      <c r="U99" s="25"/>
      <c r="V99" s="5"/>
    </row>
    <row r="100" spans="1:23" x14ac:dyDescent="0.35">
      <c r="A100" s="24"/>
      <c r="B100" s="118" t="s">
        <v>33</v>
      </c>
      <c r="C100" s="25"/>
      <c r="D100" s="25"/>
      <c r="E100" s="25"/>
      <c r="F100" s="25"/>
      <c r="G100" s="25"/>
      <c r="H100" s="25"/>
      <c r="I100" s="25"/>
      <c r="J100" s="25"/>
      <c r="K100" s="25"/>
      <c r="L100" s="25"/>
      <c r="M100" s="25"/>
      <c r="N100" s="25"/>
      <c r="O100" s="25"/>
      <c r="P100" s="25"/>
      <c r="Q100" s="25"/>
      <c r="R100" s="34"/>
      <c r="S100" s="25"/>
      <c r="T100" s="53"/>
      <c r="U100" s="25"/>
      <c r="V100" s="5"/>
    </row>
    <row r="101" spans="1:23" x14ac:dyDescent="0.35">
      <c r="A101" s="24">
        <v>1</v>
      </c>
      <c r="B101" s="25" t="s">
        <v>34</v>
      </c>
      <c r="C101" s="25"/>
      <c r="D101" s="25"/>
      <c r="E101" s="25"/>
      <c r="F101" s="25"/>
      <c r="G101" s="25"/>
      <c r="H101" s="25"/>
      <c r="I101" s="25"/>
      <c r="J101" s="25"/>
      <c r="K101" s="25"/>
      <c r="L101" s="25"/>
      <c r="M101" s="25"/>
      <c r="N101" s="25"/>
      <c r="O101" s="25"/>
      <c r="P101" s="25"/>
      <c r="Q101" s="25"/>
      <c r="R101" s="25"/>
      <c r="S101" s="25"/>
      <c r="T101" s="53">
        <v>0</v>
      </c>
      <c r="U101" s="25"/>
      <c r="V101" s="5"/>
    </row>
    <row r="102" spans="1:23" x14ac:dyDescent="0.35">
      <c r="A102" s="24">
        <f>+A101+1</f>
        <v>2</v>
      </c>
      <c r="B102" s="25" t="s">
        <v>35</v>
      </c>
      <c r="C102" s="25"/>
      <c r="D102" s="25"/>
      <c r="E102" s="25"/>
      <c r="F102" s="25"/>
      <c r="G102" s="25"/>
      <c r="H102" s="25"/>
      <c r="I102" s="25"/>
      <c r="J102" s="25"/>
      <c r="K102" s="25"/>
      <c r="L102" s="25"/>
      <c r="M102" s="25"/>
      <c r="N102" s="25"/>
      <c r="O102" s="25"/>
      <c r="P102" s="25"/>
      <c r="Q102" s="25"/>
      <c r="R102" s="25"/>
      <c r="S102" s="25"/>
      <c r="T102" s="53">
        <v>-2</v>
      </c>
      <c r="U102" s="25"/>
      <c r="V102" s="5"/>
    </row>
    <row r="103" spans="1:23" x14ac:dyDescent="0.35">
      <c r="A103" s="24">
        <f>+A102+1</f>
        <v>3</v>
      </c>
      <c r="B103" s="25" t="s">
        <v>246</v>
      </c>
      <c r="C103" s="25"/>
      <c r="D103" s="25"/>
      <c r="E103" s="25"/>
      <c r="F103" s="25"/>
      <c r="G103" s="25"/>
      <c r="H103" s="25"/>
      <c r="I103" s="25"/>
      <c r="J103" s="25"/>
      <c r="K103" s="25"/>
      <c r="L103" s="25"/>
      <c r="M103" s="25"/>
      <c r="N103" s="25"/>
      <c r="O103" s="25"/>
      <c r="P103" s="25"/>
      <c r="Q103" s="25"/>
      <c r="R103" s="25"/>
      <c r="S103" s="25"/>
      <c r="T103" s="53">
        <f>-374-4-19</f>
        <v>-397</v>
      </c>
      <c r="U103" s="25"/>
      <c r="V103" s="5"/>
    </row>
    <row r="104" spans="1:23" x14ac:dyDescent="0.35">
      <c r="A104" s="24" t="s">
        <v>134</v>
      </c>
      <c r="B104" s="25" t="s">
        <v>123</v>
      </c>
      <c r="C104" s="25"/>
      <c r="D104" s="25"/>
      <c r="E104" s="25"/>
      <c r="F104" s="25"/>
      <c r="G104" s="25"/>
      <c r="H104" s="25"/>
      <c r="I104" s="25"/>
      <c r="J104" s="25"/>
      <c r="K104" s="25"/>
      <c r="L104" s="25"/>
      <c r="M104" s="25"/>
      <c r="N104" s="25"/>
      <c r="O104" s="25"/>
      <c r="P104" s="25"/>
      <c r="Q104" s="25"/>
      <c r="R104" s="25"/>
      <c r="S104" s="25"/>
      <c r="T104" s="53">
        <v>34</v>
      </c>
      <c r="U104" s="25"/>
      <c r="V104" s="5"/>
    </row>
    <row r="105" spans="1:23" x14ac:dyDescent="0.35">
      <c r="A105" s="24" t="s">
        <v>135</v>
      </c>
      <c r="B105" s="25" t="s">
        <v>169</v>
      </c>
      <c r="C105" s="25"/>
      <c r="D105" s="25"/>
      <c r="E105" s="25"/>
      <c r="F105" s="25"/>
      <c r="G105" s="25"/>
      <c r="H105" s="25"/>
      <c r="I105" s="25"/>
      <c r="J105" s="25"/>
      <c r="K105" s="25"/>
      <c r="L105" s="25"/>
      <c r="M105" s="25"/>
      <c r="N105" s="25"/>
      <c r="O105" s="25"/>
      <c r="P105" s="25"/>
      <c r="Q105" s="25"/>
      <c r="R105" s="25"/>
      <c r="S105" s="25"/>
      <c r="T105" s="53">
        <v>-2</v>
      </c>
      <c r="U105" s="25"/>
      <c r="V105" s="5"/>
    </row>
    <row r="106" spans="1:23" x14ac:dyDescent="0.35">
      <c r="A106" s="24" t="s">
        <v>157</v>
      </c>
      <c r="B106" s="25" t="s">
        <v>217</v>
      </c>
      <c r="C106" s="25"/>
      <c r="D106" s="25"/>
      <c r="E106" s="25"/>
      <c r="F106" s="25"/>
      <c r="G106" s="25"/>
      <c r="H106" s="25"/>
      <c r="I106" s="25"/>
      <c r="J106" s="25"/>
      <c r="K106" s="25"/>
      <c r="L106" s="25"/>
      <c r="M106" s="25"/>
      <c r="N106" s="25"/>
      <c r="O106" s="25"/>
      <c r="P106" s="25"/>
      <c r="Q106" s="25"/>
      <c r="R106" s="25"/>
      <c r="S106" s="25"/>
      <c r="T106" s="53">
        <f>-7201-1802</f>
        <v>-9003</v>
      </c>
      <c r="U106" s="25"/>
      <c r="V106" s="169"/>
      <c r="W106" s="109"/>
    </row>
    <row r="107" spans="1:23" x14ac:dyDescent="0.35">
      <c r="A107" s="24" t="s">
        <v>158</v>
      </c>
      <c r="B107" s="25" t="s">
        <v>213</v>
      </c>
      <c r="C107" s="25"/>
      <c r="D107" s="25"/>
      <c r="E107" s="25"/>
      <c r="F107" s="25"/>
      <c r="G107" s="25"/>
      <c r="H107" s="25"/>
      <c r="I107" s="25"/>
      <c r="J107" s="25"/>
      <c r="K107" s="25"/>
      <c r="L107" s="25"/>
      <c r="M107" s="25"/>
      <c r="N107" s="25"/>
      <c r="O107" s="25"/>
      <c r="P107" s="25"/>
      <c r="Q107" s="25"/>
      <c r="R107" s="25"/>
      <c r="S107" s="25"/>
      <c r="T107" s="53">
        <v>-1255</v>
      </c>
      <c r="U107" s="25"/>
      <c r="V107" s="5"/>
    </row>
    <row r="108" spans="1:23" x14ac:dyDescent="0.35">
      <c r="A108" s="24" t="s">
        <v>247</v>
      </c>
      <c r="B108" s="25" t="s">
        <v>214</v>
      </c>
      <c r="C108" s="25"/>
      <c r="D108" s="25"/>
      <c r="E108" s="25"/>
      <c r="F108" s="25"/>
      <c r="G108" s="25"/>
      <c r="H108" s="25"/>
      <c r="I108" s="25"/>
      <c r="J108" s="25"/>
      <c r="K108" s="25"/>
      <c r="L108" s="25"/>
      <c r="M108" s="25"/>
      <c r="N108" s="25"/>
      <c r="O108" s="25"/>
      <c r="P108" s="25"/>
      <c r="Q108" s="25"/>
      <c r="R108" s="25"/>
      <c r="S108" s="25"/>
      <c r="T108" s="53">
        <v>-162</v>
      </c>
      <c r="U108" s="25"/>
      <c r="V108" s="5"/>
      <c r="W108" s="109"/>
    </row>
    <row r="109" spans="1:23" x14ac:dyDescent="0.35">
      <c r="A109" s="24" t="s">
        <v>248</v>
      </c>
      <c r="B109" s="25" t="s">
        <v>215</v>
      </c>
      <c r="C109" s="25"/>
      <c r="D109" s="25"/>
      <c r="E109" s="25"/>
      <c r="F109" s="25"/>
      <c r="G109" s="25"/>
      <c r="H109" s="25"/>
      <c r="I109" s="25"/>
      <c r="J109" s="25"/>
      <c r="K109" s="25"/>
      <c r="L109" s="25"/>
      <c r="M109" s="25"/>
      <c r="N109" s="25"/>
      <c r="O109" s="25"/>
      <c r="P109" s="25"/>
      <c r="Q109" s="25"/>
      <c r="R109" s="25"/>
      <c r="S109" s="25"/>
      <c r="T109" s="53">
        <v>-379</v>
      </c>
      <c r="U109" s="25"/>
      <c r="V109" s="5"/>
      <c r="W109" s="109"/>
    </row>
    <row r="110" spans="1:23" x14ac:dyDescent="0.35">
      <c r="A110" s="24" t="s">
        <v>249</v>
      </c>
      <c r="B110" s="25" t="s">
        <v>230</v>
      </c>
      <c r="C110" s="25"/>
      <c r="D110" s="25"/>
      <c r="E110" s="25"/>
      <c r="F110" s="25"/>
      <c r="G110" s="25"/>
      <c r="H110" s="25"/>
      <c r="I110" s="25"/>
      <c r="J110" s="25"/>
      <c r="K110" s="25"/>
      <c r="L110" s="25"/>
      <c r="M110" s="25"/>
      <c r="N110" s="25"/>
      <c r="O110" s="25"/>
      <c r="P110" s="25"/>
      <c r="Q110" s="25"/>
      <c r="R110" s="25"/>
      <c r="S110" s="25"/>
      <c r="T110" s="53">
        <v>-243</v>
      </c>
      <c r="U110" s="25"/>
      <c r="V110" s="5"/>
      <c r="W110" s="109"/>
    </row>
    <row r="111" spans="1:23" x14ac:dyDescent="0.35">
      <c r="A111" s="24" t="s">
        <v>250</v>
      </c>
      <c r="B111" s="25" t="s">
        <v>216</v>
      </c>
      <c r="C111" s="25"/>
      <c r="D111" s="25"/>
      <c r="E111" s="25"/>
      <c r="F111" s="25"/>
      <c r="G111" s="25"/>
      <c r="H111" s="25"/>
      <c r="I111" s="25"/>
      <c r="J111" s="25"/>
      <c r="K111" s="25"/>
      <c r="L111" s="25"/>
      <c r="M111" s="25"/>
      <c r="N111" s="25"/>
      <c r="O111" s="25"/>
      <c r="P111" s="25"/>
      <c r="Q111" s="25"/>
      <c r="R111" s="25"/>
      <c r="S111" s="25"/>
      <c r="T111" s="53">
        <v>-666</v>
      </c>
      <c r="U111" s="25"/>
      <c r="V111" s="5"/>
    </row>
    <row r="112" spans="1:23" x14ac:dyDescent="0.35">
      <c r="A112" s="24">
        <v>7</v>
      </c>
      <c r="B112" s="25" t="s">
        <v>36</v>
      </c>
      <c r="C112" s="25"/>
      <c r="D112" s="25"/>
      <c r="E112" s="25"/>
      <c r="F112" s="25"/>
      <c r="G112" s="25"/>
      <c r="H112" s="25"/>
      <c r="I112" s="25"/>
      <c r="J112" s="25"/>
      <c r="K112" s="25"/>
      <c r="L112" s="25"/>
      <c r="M112" s="25"/>
      <c r="N112" s="25"/>
      <c r="O112" s="25"/>
      <c r="P112" s="25"/>
      <c r="Q112" s="25"/>
      <c r="R112" s="25"/>
      <c r="S112" s="25"/>
      <c r="T112" s="53">
        <v>-13</v>
      </c>
      <c r="U112" s="25"/>
      <c r="V112" s="5"/>
    </row>
    <row r="113" spans="1:22" x14ac:dyDescent="0.35">
      <c r="A113" s="24">
        <f t="shared" ref="A113:A118" si="0">+A112+1</f>
        <v>8</v>
      </c>
      <c r="B113" s="25" t="s">
        <v>47</v>
      </c>
      <c r="C113" s="25"/>
      <c r="D113" s="25"/>
      <c r="E113" s="25"/>
      <c r="F113" s="25"/>
      <c r="G113" s="25"/>
      <c r="H113" s="25"/>
      <c r="I113" s="25"/>
      <c r="J113" s="25"/>
      <c r="K113" s="25"/>
      <c r="L113" s="25"/>
      <c r="M113" s="25"/>
      <c r="N113" s="25"/>
      <c r="O113" s="25"/>
      <c r="P113" s="25"/>
      <c r="Q113" s="25"/>
      <c r="R113" s="25"/>
      <c r="S113" s="25"/>
      <c r="T113" s="53">
        <v>0</v>
      </c>
      <c r="U113" s="25"/>
      <c r="V113" s="5"/>
    </row>
    <row r="114" spans="1:22" x14ac:dyDescent="0.35">
      <c r="A114" s="24">
        <f t="shared" si="0"/>
        <v>9</v>
      </c>
      <c r="B114" s="25" t="s">
        <v>132</v>
      </c>
      <c r="C114" s="25"/>
      <c r="D114" s="25"/>
      <c r="E114" s="25"/>
      <c r="F114" s="25"/>
      <c r="G114" s="25"/>
      <c r="H114" s="25"/>
      <c r="I114" s="25"/>
      <c r="J114" s="25"/>
      <c r="K114" s="25"/>
      <c r="L114" s="25"/>
      <c r="M114" s="25"/>
      <c r="N114" s="25"/>
      <c r="O114" s="25"/>
      <c r="P114" s="25"/>
      <c r="Q114" s="25"/>
      <c r="R114" s="25"/>
      <c r="S114" s="25"/>
      <c r="T114" s="53">
        <v>0</v>
      </c>
      <c r="U114" s="25"/>
      <c r="V114" s="5"/>
    </row>
    <row r="115" spans="1:22" x14ac:dyDescent="0.35">
      <c r="A115" s="24">
        <f t="shared" si="0"/>
        <v>10</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11</v>
      </c>
      <c r="B116" s="25" t="s">
        <v>38</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12</v>
      </c>
      <c r="B117" s="25" t="s">
        <v>156</v>
      </c>
      <c r="C117" s="25"/>
      <c r="D117" s="25"/>
      <c r="E117" s="25"/>
      <c r="F117" s="25"/>
      <c r="G117" s="25"/>
      <c r="H117" s="25"/>
      <c r="I117" s="25"/>
      <c r="J117" s="25"/>
      <c r="K117" s="25"/>
      <c r="L117" s="25"/>
      <c r="M117" s="25"/>
      <c r="N117" s="25"/>
      <c r="O117" s="25"/>
      <c r="P117" s="25"/>
      <c r="Q117" s="25"/>
      <c r="R117" s="25"/>
      <c r="S117" s="25"/>
      <c r="T117" s="53">
        <v>-374</v>
      </c>
      <c r="U117" s="25"/>
      <c r="V117" s="5"/>
    </row>
    <row r="118" spans="1:22" x14ac:dyDescent="0.35">
      <c r="A118" s="24">
        <f t="shared" si="0"/>
        <v>13</v>
      </c>
      <c r="B118" s="25" t="s">
        <v>133</v>
      </c>
      <c r="C118" s="25"/>
      <c r="D118" s="25"/>
      <c r="E118" s="25"/>
      <c r="F118" s="25"/>
      <c r="G118" s="25"/>
      <c r="H118" s="25"/>
      <c r="I118" s="25"/>
      <c r="J118" s="25"/>
      <c r="K118" s="25"/>
      <c r="L118" s="25"/>
      <c r="M118" s="25"/>
      <c r="N118" s="25"/>
      <c r="O118" s="25"/>
      <c r="P118" s="25"/>
      <c r="Q118" s="25"/>
      <c r="R118" s="25"/>
      <c r="S118" s="25"/>
      <c r="T118" s="53">
        <f>-T99-SUM(T101:T117)</f>
        <v>-2321</v>
      </c>
      <c r="U118" s="25"/>
      <c r="V118" s="5"/>
    </row>
    <row r="119" spans="1:22" x14ac:dyDescent="0.35">
      <c r="A119" s="24"/>
      <c r="B119" s="118" t="s">
        <v>39</v>
      </c>
      <c r="C119" s="25"/>
      <c r="D119" s="25"/>
      <c r="E119" s="25"/>
      <c r="F119" s="25"/>
      <c r="G119" s="25"/>
      <c r="H119" s="25"/>
      <c r="I119" s="25"/>
      <c r="J119" s="25"/>
      <c r="K119" s="25"/>
      <c r="L119" s="25"/>
      <c r="M119" s="25"/>
      <c r="N119" s="25"/>
      <c r="O119" s="25"/>
      <c r="P119" s="25"/>
      <c r="Q119" s="25"/>
      <c r="R119" s="25"/>
      <c r="S119" s="25"/>
      <c r="T119" s="59"/>
      <c r="U119" s="25"/>
      <c r="V119" s="5"/>
    </row>
    <row r="120" spans="1:22" x14ac:dyDescent="0.35">
      <c r="A120" s="24"/>
      <c r="B120" s="25" t="s">
        <v>184</v>
      </c>
      <c r="C120" s="25"/>
      <c r="D120" s="25"/>
      <c r="E120" s="25"/>
      <c r="F120" s="25"/>
      <c r="G120" s="25"/>
      <c r="H120" s="25"/>
      <c r="I120" s="25"/>
      <c r="J120" s="25"/>
      <c r="K120" s="25"/>
      <c r="L120" s="25"/>
      <c r="M120" s="25"/>
      <c r="N120" s="25"/>
      <c r="O120" s="25"/>
      <c r="P120" s="25"/>
      <c r="Q120" s="25"/>
      <c r="R120" s="34">
        <f>-R179</f>
        <v>-1289</v>
      </c>
      <c r="S120" s="34"/>
      <c r="T120" s="53"/>
      <c r="U120" s="25"/>
      <c r="V120" s="5"/>
    </row>
    <row r="121" spans="1:22" x14ac:dyDescent="0.35">
      <c r="A121" s="24"/>
      <c r="B121" s="25" t="s">
        <v>185</v>
      </c>
      <c r="C121" s="25"/>
      <c r="D121" s="25"/>
      <c r="E121" s="25"/>
      <c r="F121" s="25"/>
      <c r="G121" s="25"/>
      <c r="H121" s="25"/>
      <c r="I121" s="25"/>
      <c r="J121" s="25"/>
      <c r="K121" s="25"/>
      <c r="L121" s="25"/>
      <c r="M121" s="25"/>
      <c r="N121" s="25"/>
      <c r="O121" s="25"/>
      <c r="P121" s="25"/>
      <c r="Q121" s="25"/>
      <c r="R121" s="34">
        <f>-38-144</f>
        <v>-182</v>
      </c>
      <c r="S121" s="34"/>
      <c r="T121" s="53"/>
      <c r="U121" s="25"/>
      <c r="V121" s="5"/>
    </row>
    <row r="122" spans="1:22" x14ac:dyDescent="0.35">
      <c r="A122" s="24"/>
      <c r="B122" s="25" t="s">
        <v>40</v>
      </c>
      <c r="C122" s="25"/>
      <c r="D122" s="25"/>
      <c r="E122" s="25"/>
      <c r="F122" s="25"/>
      <c r="G122" s="25"/>
      <c r="H122" s="25"/>
      <c r="I122" s="25"/>
      <c r="J122" s="25"/>
      <c r="K122" s="25"/>
      <c r="L122" s="25"/>
      <c r="M122" s="25"/>
      <c r="N122" s="25"/>
      <c r="O122" s="25"/>
      <c r="P122" s="25"/>
      <c r="Q122" s="25"/>
      <c r="R122" s="34">
        <f>-Q179</f>
        <v>-3847</v>
      </c>
      <c r="S122" s="34"/>
      <c r="T122" s="53"/>
      <c r="U122" s="25"/>
      <c r="V122" s="5"/>
    </row>
    <row r="123" spans="1:22" x14ac:dyDescent="0.35">
      <c r="A123" s="24"/>
      <c r="B123" s="25" t="s">
        <v>231</v>
      </c>
      <c r="C123" s="25"/>
      <c r="D123" s="25"/>
      <c r="E123" s="25"/>
      <c r="F123" s="25"/>
      <c r="G123" s="25"/>
      <c r="H123" s="25"/>
      <c r="I123" s="25"/>
      <c r="J123" s="25"/>
      <c r="K123" s="25"/>
      <c r="L123" s="25"/>
      <c r="M123" s="25"/>
      <c r="N123" s="25"/>
      <c r="O123" s="25"/>
      <c r="P123" s="25"/>
      <c r="Q123" s="25"/>
      <c r="R123" s="34">
        <v>-12074</v>
      </c>
      <c r="S123" s="34"/>
      <c r="T123" s="53"/>
      <c r="U123" s="25"/>
      <c r="V123" s="5"/>
    </row>
    <row r="124" spans="1:22" x14ac:dyDescent="0.35">
      <c r="A124" s="24"/>
      <c r="B124" s="25" t="s">
        <v>229</v>
      </c>
      <c r="C124" s="25"/>
      <c r="D124" s="25"/>
      <c r="E124" s="25"/>
      <c r="F124" s="25"/>
      <c r="G124" s="25"/>
      <c r="H124" s="25"/>
      <c r="I124" s="25"/>
      <c r="J124" s="25"/>
      <c r="K124" s="25"/>
      <c r="L124" s="25"/>
      <c r="M124" s="25"/>
      <c r="N124" s="25"/>
      <c r="O124" s="25"/>
      <c r="P124" s="25"/>
      <c r="Q124" s="25"/>
      <c r="R124" s="34">
        <v>0</v>
      </c>
      <c r="S124" s="34"/>
      <c r="T124" s="53"/>
      <c r="U124" s="25"/>
      <c r="V124" s="5"/>
    </row>
    <row r="125" spans="1:22" x14ac:dyDescent="0.35">
      <c r="A125" s="24"/>
      <c r="B125" s="25" t="s">
        <v>228</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221</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220</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219</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218</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41</v>
      </c>
      <c r="C130" s="25"/>
      <c r="D130" s="25"/>
      <c r="E130" s="25"/>
      <c r="F130" s="25"/>
      <c r="G130" s="25"/>
      <c r="H130" s="25"/>
      <c r="I130" s="25"/>
      <c r="J130" s="25"/>
      <c r="K130" s="25"/>
      <c r="L130" s="25"/>
      <c r="M130" s="25"/>
      <c r="N130" s="25"/>
      <c r="O130" s="25"/>
      <c r="P130" s="25"/>
      <c r="Q130" s="25"/>
      <c r="R130" s="34">
        <f>SUM(R120:R129)</f>
        <v>-17392</v>
      </c>
      <c r="S130" s="34"/>
      <c r="T130" s="34">
        <f>SUM(T100:T128)</f>
        <v>-14783</v>
      </c>
      <c r="U130" s="25"/>
      <c r="V130" s="5"/>
    </row>
    <row r="131" spans="1:22" x14ac:dyDescent="0.35">
      <c r="A131" s="24"/>
      <c r="B131" s="25" t="s">
        <v>42</v>
      </c>
      <c r="C131" s="25"/>
      <c r="D131" s="25"/>
      <c r="E131" s="25"/>
      <c r="F131" s="25"/>
      <c r="G131" s="25"/>
      <c r="H131" s="25"/>
      <c r="I131" s="25"/>
      <c r="J131" s="25"/>
      <c r="K131" s="25"/>
      <c r="L131" s="25"/>
      <c r="M131" s="25"/>
      <c r="N131" s="25"/>
      <c r="O131" s="25"/>
      <c r="P131" s="25"/>
      <c r="Q131" s="25"/>
      <c r="R131" s="34">
        <f>R99+R130</f>
        <v>0</v>
      </c>
      <c r="S131" s="34"/>
      <c r="T131" s="34">
        <f>T99+T130</f>
        <v>0</v>
      </c>
      <c r="U131" s="25"/>
      <c r="V131" s="5"/>
    </row>
    <row r="132" spans="1:22" x14ac:dyDescent="0.35">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x14ac:dyDescent="0.35">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4">
      <c r="A134" s="101"/>
      <c r="B134" s="102" t="str">
        <f>B64</f>
        <v>PM10 INVESTOR REPORT QUARTER ENDING MAY 2006</v>
      </c>
      <c r="C134" s="103"/>
      <c r="D134" s="103"/>
      <c r="E134" s="103"/>
      <c r="F134" s="103"/>
      <c r="G134" s="103"/>
      <c r="H134" s="103"/>
      <c r="I134" s="103"/>
      <c r="J134" s="103"/>
      <c r="K134" s="103"/>
      <c r="L134" s="103"/>
      <c r="M134" s="103"/>
      <c r="N134" s="103"/>
      <c r="O134" s="103"/>
      <c r="P134" s="103"/>
      <c r="Q134" s="103"/>
      <c r="R134" s="103"/>
      <c r="S134" s="103"/>
      <c r="T134" s="106"/>
      <c r="U134" s="105"/>
      <c r="V134" s="5"/>
    </row>
    <row r="135" spans="1:22" x14ac:dyDescent="0.35">
      <c r="A135" s="2"/>
      <c r="B135" s="60" t="s">
        <v>43</v>
      </c>
      <c r="C135" s="4"/>
      <c r="D135" s="4"/>
      <c r="E135" s="4"/>
      <c r="F135" s="4"/>
      <c r="G135" s="4"/>
      <c r="H135" s="4"/>
      <c r="I135" s="4"/>
      <c r="J135" s="4"/>
      <c r="K135" s="4"/>
      <c r="L135" s="4"/>
      <c r="M135" s="4"/>
      <c r="N135" s="4"/>
      <c r="O135" s="4"/>
      <c r="P135" s="4"/>
      <c r="Q135" s="4"/>
      <c r="R135" s="4"/>
      <c r="S135" s="4"/>
      <c r="T135" s="50"/>
      <c r="U135" s="4"/>
      <c r="V135" s="5"/>
    </row>
    <row r="136" spans="1:22" x14ac:dyDescent="0.35">
      <c r="A136" s="6"/>
      <c r="B136" s="21"/>
      <c r="C136" s="8"/>
      <c r="D136" s="8"/>
      <c r="E136" s="8"/>
      <c r="F136" s="8"/>
      <c r="G136" s="8"/>
      <c r="H136" s="8"/>
      <c r="I136" s="8"/>
      <c r="J136" s="8"/>
      <c r="K136" s="8"/>
      <c r="L136" s="8"/>
      <c r="M136" s="8"/>
      <c r="N136" s="8"/>
      <c r="O136" s="8"/>
      <c r="P136" s="8"/>
      <c r="Q136" s="8"/>
      <c r="R136" s="8"/>
      <c r="S136" s="8"/>
      <c r="T136" s="52"/>
      <c r="U136" s="8"/>
      <c r="V136" s="5"/>
    </row>
    <row r="137" spans="1:22" x14ac:dyDescent="0.35">
      <c r="A137" s="6"/>
      <c r="B137" s="119" t="s">
        <v>44</v>
      </c>
      <c r="C137" s="8"/>
      <c r="D137" s="8"/>
      <c r="E137" s="8"/>
      <c r="F137" s="8"/>
      <c r="G137" s="8"/>
      <c r="H137" s="8"/>
      <c r="I137" s="8"/>
      <c r="J137" s="8"/>
      <c r="K137" s="8"/>
      <c r="L137" s="8"/>
      <c r="M137" s="8"/>
      <c r="N137" s="8"/>
      <c r="O137" s="8"/>
      <c r="P137" s="8"/>
      <c r="Q137" s="8"/>
      <c r="R137" s="8"/>
      <c r="S137" s="8"/>
      <c r="T137" s="52"/>
      <c r="U137" s="8"/>
      <c r="V137" s="5"/>
    </row>
    <row r="138" spans="1:22" x14ac:dyDescent="0.35">
      <c r="A138" s="24"/>
      <c r="B138" s="25" t="s">
        <v>45</v>
      </c>
      <c r="C138" s="25"/>
      <c r="D138" s="25"/>
      <c r="E138" s="25"/>
      <c r="F138" s="25"/>
      <c r="G138" s="25"/>
      <c r="H138" s="25"/>
      <c r="I138" s="25"/>
      <c r="J138" s="25"/>
      <c r="K138" s="25"/>
      <c r="L138" s="25"/>
      <c r="M138" s="25"/>
      <c r="N138" s="25"/>
      <c r="O138" s="25"/>
      <c r="P138" s="25"/>
      <c r="Q138" s="25"/>
      <c r="R138" s="25"/>
      <c r="S138" s="25"/>
      <c r="T138" s="53">
        <f>+T34*0.0186</f>
        <v>18606.565799999997</v>
      </c>
      <c r="U138" s="25"/>
      <c r="V138" s="5"/>
    </row>
    <row r="139" spans="1:22" x14ac:dyDescent="0.35">
      <c r="A139" s="24"/>
      <c r="B139" s="25" t="s">
        <v>46</v>
      </c>
      <c r="C139" s="25"/>
      <c r="D139" s="25"/>
      <c r="E139" s="25"/>
      <c r="F139" s="25"/>
      <c r="G139" s="25"/>
      <c r="H139" s="25"/>
      <c r="I139" s="25"/>
      <c r="J139" s="25"/>
      <c r="K139" s="25"/>
      <c r="L139" s="25"/>
      <c r="M139" s="25"/>
      <c r="N139" s="25"/>
      <c r="O139" s="25"/>
      <c r="P139" s="25"/>
      <c r="Q139" s="25"/>
      <c r="R139" s="25"/>
      <c r="S139" s="25"/>
      <c r="T139" s="53">
        <v>18607</v>
      </c>
      <c r="U139" s="25"/>
      <c r="V139" s="5"/>
    </row>
    <row r="140" spans="1:22" x14ac:dyDescent="0.35">
      <c r="A140" s="24"/>
      <c r="B140" s="25" t="s">
        <v>143</v>
      </c>
      <c r="C140" s="25"/>
      <c r="D140" s="25"/>
      <c r="E140" s="25"/>
      <c r="F140" s="25"/>
      <c r="G140" s="25"/>
      <c r="H140" s="25"/>
      <c r="I140" s="25"/>
      <c r="J140" s="25"/>
      <c r="K140" s="25"/>
      <c r="L140" s="25"/>
      <c r="M140" s="25"/>
      <c r="N140" s="25"/>
      <c r="O140" s="25"/>
      <c r="P140" s="25"/>
      <c r="Q140" s="25"/>
      <c r="R140" s="25"/>
      <c r="S140" s="25"/>
      <c r="T140" s="53">
        <v>0</v>
      </c>
      <c r="U140" s="25"/>
      <c r="V140" s="5"/>
    </row>
    <row r="141" spans="1:22" x14ac:dyDescent="0.35">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131</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186</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47</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136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222</v>
      </c>
      <c r="C146" s="25"/>
      <c r="D146" s="25"/>
      <c r="E146" s="25"/>
      <c r="F146" s="25"/>
      <c r="G146" s="25"/>
      <c r="H146" s="25"/>
      <c r="I146" s="25"/>
      <c r="J146" s="25"/>
      <c r="K146" s="25"/>
      <c r="L146" s="25"/>
      <c r="M146" s="25"/>
      <c r="N146" s="25"/>
      <c r="O146" s="25"/>
      <c r="P146" s="25"/>
      <c r="Q146" s="25"/>
      <c r="R146" s="25"/>
      <c r="S146" s="25"/>
      <c r="T146" s="53">
        <v>0</v>
      </c>
      <c r="U146" s="25"/>
      <c r="V146" s="5"/>
      <c r="W146" s="109"/>
    </row>
    <row r="147" spans="1:23" x14ac:dyDescent="0.35">
      <c r="A147" s="24"/>
      <c r="B147" s="25" t="s">
        <v>48</v>
      </c>
      <c r="C147" s="25"/>
      <c r="D147" s="25"/>
      <c r="E147" s="25"/>
      <c r="F147" s="25"/>
      <c r="G147" s="25"/>
      <c r="H147" s="25"/>
      <c r="I147" s="25"/>
      <c r="J147" s="25"/>
      <c r="K147" s="25"/>
      <c r="L147" s="25"/>
      <c r="M147" s="25"/>
      <c r="N147" s="25"/>
      <c r="O147" s="25"/>
      <c r="P147" s="25"/>
      <c r="Q147" s="25"/>
      <c r="R147" s="25"/>
      <c r="S147" s="25"/>
      <c r="T147" s="53">
        <f>SUM(T139:T146)</f>
        <v>18607</v>
      </c>
      <c r="U147" s="25"/>
      <c r="V147" s="5"/>
    </row>
    <row r="148" spans="1:23" x14ac:dyDescent="0.35">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x14ac:dyDescent="0.35">
      <c r="A149" s="24"/>
      <c r="B149" s="139" t="s">
        <v>266</v>
      </c>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25" t="s">
        <v>163</v>
      </c>
      <c r="C150" s="25"/>
      <c r="D150" s="25"/>
      <c r="E150" s="25"/>
      <c r="F150" s="25"/>
      <c r="G150" s="25"/>
      <c r="H150" s="25"/>
      <c r="I150" s="25"/>
      <c r="J150" s="25"/>
      <c r="K150" s="25"/>
      <c r="L150" s="25"/>
      <c r="M150" s="25"/>
      <c r="N150" s="25"/>
      <c r="O150" s="25"/>
      <c r="P150" s="25"/>
      <c r="Q150" s="25"/>
      <c r="R150" s="25"/>
      <c r="S150" s="25"/>
      <c r="T150" s="53">
        <v>5750</v>
      </c>
      <c r="U150" s="25"/>
      <c r="V150" s="5"/>
    </row>
    <row r="151" spans="1:23" x14ac:dyDescent="0.35">
      <c r="A151" s="24"/>
      <c r="B151" s="25" t="s">
        <v>264</v>
      </c>
      <c r="C151" s="25"/>
      <c r="D151" s="25"/>
      <c r="E151" s="25"/>
      <c r="F151" s="25"/>
      <c r="G151" s="25"/>
      <c r="H151" s="25"/>
      <c r="I151" s="25"/>
      <c r="J151" s="25"/>
      <c r="K151" s="25"/>
      <c r="L151" s="25"/>
      <c r="M151" s="25"/>
      <c r="N151" s="25"/>
      <c r="O151" s="25"/>
      <c r="P151" s="25"/>
      <c r="Q151" s="25"/>
      <c r="R151" s="25"/>
      <c r="S151" s="25"/>
      <c r="T151" s="53">
        <v>5466</v>
      </c>
      <c r="U151" s="25"/>
      <c r="V151" s="5"/>
    </row>
    <row r="152" spans="1:23" x14ac:dyDescent="0.35">
      <c r="A152" s="24"/>
      <c r="B152" s="25" t="s">
        <v>183</v>
      </c>
      <c r="C152" s="25"/>
      <c r="D152" s="25"/>
      <c r="E152" s="25"/>
      <c r="F152" s="25"/>
      <c r="G152" s="25"/>
      <c r="H152" s="25"/>
      <c r="I152" s="25"/>
      <c r="J152" s="25"/>
      <c r="K152" s="25"/>
      <c r="L152" s="25"/>
      <c r="M152" s="25"/>
      <c r="N152" s="25"/>
      <c r="O152" s="25"/>
      <c r="P152" s="25"/>
      <c r="Q152" s="25"/>
      <c r="R152" s="25"/>
      <c r="S152" s="25"/>
      <c r="T152" s="53">
        <v>0</v>
      </c>
      <c r="U152" s="25"/>
      <c r="V152" s="5"/>
    </row>
    <row r="153" spans="1:23" x14ac:dyDescent="0.35">
      <c r="A153" s="24"/>
      <c r="B153" s="25" t="s">
        <v>267</v>
      </c>
      <c r="C153" s="25"/>
      <c r="D153" s="25"/>
      <c r="E153" s="25"/>
      <c r="F153" s="25"/>
      <c r="G153" s="25"/>
      <c r="H153" s="25"/>
      <c r="I153" s="25"/>
      <c r="J153" s="25"/>
      <c r="K153" s="25"/>
      <c r="L153" s="25"/>
      <c r="M153" s="25"/>
      <c r="N153" s="25"/>
      <c r="O153" s="25"/>
      <c r="P153" s="25"/>
      <c r="Q153" s="25"/>
      <c r="R153" s="25"/>
      <c r="S153" s="25"/>
      <c r="T153" s="53">
        <v>5367</v>
      </c>
      <c r="U153" s="25"/>
      <c r="V153" s="5"/>
    </row>
    <row r="154" spans="1:23" x14ac:dyDescent="0.35">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x14ac:dyDescent="0.35">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x14ac:dyDescent="0.35">
      <c r="A156" s="6"/>
      <c r="B156" s="119" t="s">
        <v>24</v>
      </c>
      <c r="C156" s="8"/>
      <c r="D156" s="8"/>
      <c r="E156" s="8"/>
      <c r="F156" s="8"/>
      <c r="G156" s="8"/>
      <c r="H156" s="8"/>
      <c r="I156" s="8"/>
      <c r="J156" s="8"/>
      <c r="K156" s="8"/>
      <c r="L156" s="8"/>
      <c r="M156" s="8"/>
      <c r="N156" s="8"/>
      <c r="O156" s="8"/>
      <c r="P156" s="8"/>
      <c r="Q156" s="8"/>
      <c r="R156" s="8"/>
      <c r="S156" s="8"/>
      <c r="T156" s="52"/>
      <c r="U156" s="8"/>
      <c r="V156" s="5"/>
    </row>
    <row r="157" spans="1:23" x14ac:dyDescent="0.35">
      <c r="A157" s="24"/>
      <c r="B157" s="25" t="s">
        <v>49</v>
      </c>
      <c r="C157" s="25"/>
      <c r="D157" s="25"/>
      <c r="E157" s="25"/>
      <c r="F157" s="25"/>
      <c r="G157" s="25"/>
      <c r="H157" s="25"/>
      <c r="I157" s="25"/>
      <c r="J157" s="25"/>
      <c r="K157" s="25"/>
      <c r="L157" s="25"/>
      <c r="M157" s="25"/>
      <c r="N157" s="25"/>
      <c r="O157" s="25"/>
      <c r="P157" s="25"/>
      <c r="Q157" s="25"/>
      <c r="R157" s="25"/>
      <c r="S157" s="25"/>
      <c r="T157" s="59" t="s">
        <v>125</v>
      </c>
      <c r="U157" s="25"/>
      <c r="V157" s="5"/>
    </row>
    <row r="158" spans="1:23" x14ac:dyDescent="0.35">
      <c r="A158" s="24"/>
      <c r="B158" s="25" t="s">
        <v>50</v>
      </c>
      <c r="C158" s="164"/>
      <c r="D158" s="164"/>
      <c r="E158" s="164"/>
      <c r="F158" s="164"/>
      <c r="G158" s="164"/>
      <c r="H158" s="164"/>
      <c r="I158" s="164"/>
      <c r="J158" s="164"/>
      <c r="K158" s="164"/>
      <c r="L158" s="164"/>
      <c r="M158" s="164"/>
      <c r="N158" s="164"/>
      <c r="O158" s="164"/>
      <c r="P158" s="164"/>
      <c r="Q158" s="164"/>
      <c r="R158" s="164"/>
      <c r="S158" s="164"/>
      <c r="T158" s="59" t="s">
        <v>125</v>
      </c>
      <c r="U158" s="25"/>
      <c r="V158" s="5"/>
    </row>
    <row r="159" spans="1:23" x14ac:dyDescent="0.35">
      <c r="A159" s="24"/>
      <c r="B159" s="25" t="s">
        <v>51</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52</v>
      </c>
      <c r="C160" s="25"/>
      <c r="D160" s="25"/>
      <c r="E160" s="25"/>
      <c r="F160" s="25"/>
      <c r="G160" s="25"/>
      <c r="H160" s="25"/>
      <c r="I160" s="25"/>
      <c r="J160" s="25"/>
      <c r="K160" s="25"/>
      <c r="L160" s="25"/>
      <c r="M160" s="25"/>
      <c r="N160" s="25"/>
      <c r="O160" s="25"/>
      <c r="P160" s="25"/>
      <c r="Q160" s="25"/>
      <c r="R160" s="25"/>
      <c r="S160" s="25"/>
      <c r="T160" s="59" t="s">
        <v>125</v>
      </c>
      <c r="U160" s="25"/>
      <c r="V160" s="5"/>
    </row>
    <row r="161" spans="1:22" x14ac:dyDescent="0.35">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x14ac:dyDescent="0.35">
      <c r="A162" s="6"/>
      <c r="B162" s="119" t="s">
        <v>53</v>
      </c>
      <c r="C162" s="8"/>
      <c r="D162" s="8"/>
      <c r="E162" s="8"/>
      <c r="F162" s="8"/>
      <c r="G162" s="8"/>
      <c r="H162" s="8"/>
      <c r="I162" s="8"/>
      <c r="J162" s="8"/>
      <c r="K162" s="8"/>
      <c r="L162" s="8"/>
      <c r="M162" s="8"/>
      <c r="N162" s="8"/>
      <c r="O162" s="8"/>
      <c r="P162" s="8"/>
      <c r="Q162" s="8"/>
      <c r="R162" s="8"/>
      <c r="S162" s="8"/>
      <c r="T162" s="63"/>
      <c r="U162" s="8"/>
      <c r="V162" s="5"/>
    </row>
    <row r="163" spans="1:22" x14ac:dyDescent="0.35">
      <c r="A163" s="24"/>
      <c r="B163" s="25" t="s">
        <v>54</v>
      </c>
      <c r="C163" s="25"/>
      <c r="D163" s="25"/>
      <c r="E163" s="25"/>
      <c r="F163" s="25"/>
      <c r="G163" s="25"/>
      <c r="H163" s="25"/>
      <c r="I163" s="25"/>
      <c r="J163" s="25"/>
      <c r="K163" s="25"/>
      <c r="L163" s="25"/>
      <c r="M163" s="25"/>
      <c r="N163" s="25"/>
      <c r="O163" s="25"/>
      <c r="P163" s="25"/>
      <c r="Q163" s="25"/>
      <c r="R163" s="25"/>
      <c r="S163" s="25"/>
      <c r="T163" s="53">
        <v>0</v>
      </c>
      <c r="U163" s="25"/>
      <c r="V163" s="5"/>
    </row>
    <row r="164" spans="1:22" x14ac:dyDescent="0.35">
      <c r="A164" s="24"/>
      <c r="B164" s="25" t="s">
        <v>55</v>
      </c>
      <c r="C164" s="25"/>
      <c r="D164" s="25"/>
      <c r="E164" s="25"/>
      <c r="F164" s="25"/>
      <c r="G164" s="25"/>
      <c r="H164" s="25"/>
      <c r="I164" s="25"/>
      <c r="J164" s="25"/>
      <c r="K164" s="25"/>
      <c r="L164" s="25"/>
      <c r="M164" s="25"/>
      <c r="N164" s="25"/>
      <c r="O164" s="25"/>
      <c r="P164" s="25"/>
      <c r="Q164" s="25"/>
      <c r="R164" s="25"/>
      <c r="S164" s="25"/>
      <c r="T164" s="53">
        <v>0</v>
      </c>
      <c r="U164" s="25"/>
      <c r="V164" s="5"/>
    </row>
    <row r="165" spans="1:22" x14ac:dyDescent="0.35">
      <c r="A165" s="24"/>
      <c r="B165" s="25" t="s">
        <v>56</v>
      </c>
      <c r="C165" s="25"/>
      <c r="D165" s="25"/>
      <c r="E165" s="25"/>
      <c r="F165" s="25"/>
      <c r="G165" s="25"/>
      <c r="H165" s="25"/>
      <c r="I165" s="25"/>
      <c r="J165" s="25"/>
      <c r="K165" s="25"/>
      <c r="L165" s="25"/>
      <c r="M165" s="25"/>
      <c r="N165" s="25"/>
      <c r="O165" s="25"/>
      <c r="P165" s="25"/>
      <c r="Q165" s="25"/>
      <c r="R165" s="25"/>
      <c r="S165" s="25"/>
      <c r="T165" s="53">
        <f>T164+T163</f>
        <v>0</v>
      </c>
      <c r="U165" s="25"/>
      <c r="V165" s="5"/>
    </row>
    <row r="166" spans="1:22" x14ac:dyDescent="0.35">
      <c r="A166" s="24"/>
      <c r="B166" s="25" t="s">
        <v>315</v>
      </c>
      <c r="C166" s="25"/>
      <c r="D166" s="25"/>
      <c r="E166" s="25"/>
      <c r="F166" s="25"/>
      <c r="G166" s="25"/>
      <c r="H166" s="25"/>
      <c r="I166" s="25"/>
      <c r="J166" s="25"/>
      <c r="K166" s="25"/>
      <c r="L166" s="25"/>
      <c r="M166" s="25"/>
      <c r="N166" s="25"/>
      <c r="O166" s="25"/>
      <c r="P166" s="25"/>
      <c r="Q166" s="25"/>
      <c r="R166" s="25"/>
      <c r="S166" s="25"/>
      <c r="T166" s="53">
        <f>T114</f>
        <v>0</v>
      </c>
      <c r="U166" s="25"/>
      <c r="V166" s="5"/>
    </row>
    <row r="167" spans="1:22" x14ac:dyDescent="0.35">
      <c r="A167" s="24"/>
      <c r="B167" s="25" t="s">
        <v>57</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 thickBot="1" x14ac:dyDescent="0.4">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x14ac:dyDescent="0.35">
      <c r="A169" s="2"/>
      <c r="B169" s="4"/>
      <c r="C169" s="4"/>
      <c r="D169" s="4"/>
      <c r="E169" s="4"/>
      <c r="F169" s="4"/>
      <c r="G169" s="4"/>
      <c r="H169" s="4"/>
      <c r="I169" s="4"/>
      <c r="J169" s="4"/>
      <c r="K169" s="4"/>
      <c r="L169" s="4"/>
      <c r="M169" s="4"/>
      <c r="N169" s="4"/>
      <c r="O169" s="4"/>
      <c r="P169" s="4"/>
      <c r="Q169" s="4"/>
      <c r="R169" s="4"/>
      <c r="S169" s="4"/>
      <c r="T169" s="50"/>
      <c r="U169" s="4"/>
      <c r="V169" s="5"/>
    </row>
    <row r="170" spans="1:22" x14ac:dyDescent="0.35">
      <c r="A170" s="6"/>
      <c r="B170" s="119" t="s">
        <v>58</v>
      </c>
      <c r="C170" s="8"/>
      <c r="D170" s="8"/>
      <c r="E170" s="8"/>
      <c r="F170" s="8"/>
      <c r="G170" s="8"/>
      <c r="H170" s="8"/>
      <c r="I170" s="8"/>
      <c r="J170" s="8"/>
      <c r="K170" s="8"/>
      <c r="L170" s="8"/>
      <c r="M170" s="8"/>
      <c r="N170" s="8"/>
      <c r="O170" s="8"/>
      <c r="P170" s="8"/>
      <c r="Q170" s="8"/>
      <c r="R170" s="8"/>
      <c r="S170" s="8"/>
      <c r="T170" s="52"/>
      <c r="U170" s="8"/>
      <c r="V170" s="5"/>
    </row>
    <row r="171" spans="1:22" x14ac:dyDescent="0.35">
      <c r="A171" s="6"/>
      <c r="B171" s="21"/>
      <c r="C171" s="8"/>
      <c r="D171" s="8"/>
      <c r="E171" s="8"/>
      <c r="F171" s="8"/>
      <c r="G171" s="8"/>
      <c r="H171" s="8"/>
      <c r="I171" s="8"/>
      <c r="J171" s="8"/>
      <c r="K171" s="8"/>
      <c r="L171" s="8"/>
      <c r="M171" s="8"/>
      <c r="N171" s="8"/>
      <c r="O171" s="8"/>
      <c r="P171" s="8"/>
      <c r="Q171" s="8"/>
      <c r="R171" s="8"/>
      <c r="S171" s="8"/>
      <c r="T171" s="52"/>
      <c r="U171" s="8"/>
      <c r="V171" s="5"/>
    </row>
    <row r="172" spans="1:22" x14ac:dyDescent="0.35">
      <c r="A172" s="24"/>
      <c r="B172" s="25" t="s">
        <v>59</v>
      </c>
      <c r="C172" s="25"/>
      <c r="D172" s="25"/>
      <c r="E172" s="25"/>
      <c r="F172" s="25"/>
      <c r="G172" s="25"/>
      <c r="H172" s="25"/>
      <c r="I172" s="25"/>
      <c r="J172" s="25"/>
      <c r="K172" s="25"/>
      <c r="L172" s="25"/>
      <c r="M172" s="25"/>
      <c r="N172" s="25"/>
      <c r="O172" s="25"/>
      <c r="P172" s="25"/>
      <c r="Q172" s="25"/>
      <c r="R172" s="25"/>
      <c r="S172" s="25"/>
      <c r="T172" s="53">
        <f>T72</f>
        <v>977387</v>
      </c>
      <c r="U172" s="25"/>
      <c r="V172" s="5"/>
    </row>
    <row r="173" spans="1:22" x14ac:dyDescent="0.35">
      <c r="A173" s="24"/>
      <c r="B173" s="25" t="s">
        <v>60</v>
      </c>
      <c r="C173" s="25"/>
      <c r="D173" s="25"/>
      <c r="E173" s="25"/>
      <c r="F173" s="25"/>
      <c r="G173" s="25"/>
      <c r="H173" s="25"/>
      <c r="I173" s="25"/>
      <c r="J173" s="25"/>
      <c r="K173" s="25"/>
      <c r="L173" s="25"/>
      <c r="M173" s="25"/>
      <c r="N173" s="25"/>
      <c r="O173" s="25"/>
      <c r="P173" s="25"/>
      <c r="Q173" s="25"/>
      <c r="R173" s="25"/>
      <c r="S173" s="25"/>
      <c r="T173" s="53">
        <f>T85</f>
        <v>977387</v>
      </c>
      <c r="U173" s="25"/>
      <c r="V173" s="5"/>
    </row>
    <row r="174" spans="1:22" ht="16" thickBot="1" x14ac:dyDescent="0.4">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x14ac:dyDescent="0.35">
      <c r="A175" s="2"/>
      <c r="B175" s="4"/>
      <c r="C175" s="4"/>
      <c r="D175" s="4"/>
      <c r="E175" s="4"/>
      <c r="F175" s="4"/>
      <c r="G175" s="4"/>
      <c r="H175" s="4"/>
      <c r="I175" s="4"/>
      <c r="J175" s="4"/>
      <c r="K175" s="4"/>
      <c r="L175" s="4"/>
      <c r="M175" s="4"/>
      <c r="N175" s="4"/>
      <c r="O175" s="4"/>
      <c r="P175" s="4"/>
      <c r="Q175" s="4"/>
      <c r="R175" s="4"/>
      <c r="S175" s="4"/>
      <c r="T175" s="50"/>
      <c r="U175" s="4"/>
      <c r="V175" s="5"/>
    </row>
    <row r="176" spans="1:22" x14ac:dyDescent="0.35">
      <c r="A176" s="6"/>
      <c r="B176" s="119" t="s">
        <v>61</v>
      </c>
      <c r="C176" s="117"/>
      <c r="D176" s="117"/>
      <c r="E176" s="117"/>
      <c r="F176" s="117"/>
      <c r="G176" s="117"/>
      <c r="H176" s="120"/>
      <c r="I176" s="120"/>
      <c r="J176" s="120"/>
      <c r="K176" s="120"/>
      <c r="L176" s="120"/>
      <c r="M176" s="120"/>
      <c r="N176" s="120"/>
      <c r="O176" s="120"/>
      <c r="P176" s="120"/>
      <c r="Q176" s="120" t="s">
        <v>105</v>
      </c>
      <c r="R176" s="120" t="s">
        <v>187</v>
      </c>
      <c r="S176" s="111"/>
      <c r="T176" s="121" t="s">
        <v>121</v>
      </c>
      <c r="U176" s="10"/>
      <c r="V176" s="5"/>
    </row>
    <row r="177" spans="1:22" x14ac:dyDescent="0.35">
      <c r="A177" s="24"/>
      <c r="B177" s="25" t="s">
        <v>62</v>
      </c>
      <c r="C177" s="25"/>
      <c r="D177" s="25"/>
      <c r="E177" s="25"/>
      <c r="F177" s="25"/>
      <c r="G177" s="25"/>
      <c r="H177" s="25"/>
      <c r="I177" s="25"/>
      <c r="J177" s="25"/>
      <c r="K177" s="25"/>
      <c r="L177" s="25"/>
      <c r="M177" s="25"/>
      <c r="N177" s="25"/>
      <c r="O177" s="25"/>
      <c r="P177" s="25"/>
      <c r="Q177" s="53">
        <f>+T34*0.16</f>
        <v>160056.48000000001</v>
      </c>
      <c r="R177" s="40"/>
      <c r="S177" s="25"/>
      <c r="T177" s="53"/>
      <c r="U177" s="25"/>
      <c r="V177" s="5"/>
    </row>
    <row r="178" spans="1:22" x14ac:dyDescent="0.35">
      <c r="A178" s="24"/>
      <c r="B178" s="25" t="s">
        <v>63</v>
      </c>
      <c r="C178" s="25"/>
      <c r="D178" s="25"/>
      <c r="E178" s="25"/>
      <c r="F178" s="25"/>
      <c r="G178" s="25"/>
      <c r="H178" s="25"/>
      <c r="I178" s="25"/>
      <c r="J178" s="25"/>
      <c r="K178" s="25"/>
      <c r="L178" s="25"/>
      <c r="M178" s="25"/>
      <c r="N178" s="25"/>
      <c r="O178" s="25"/>
      <c r="P178" s="25"/>
      <c r="Q178" s="53">
        <f>'Feb 06'!Q179</f>
        <v>4169</v>
      </c>
      <c r="R178" s="53">
        <f>'Feb 06'!R179</f>
        <v>2740</v>
      </c>
      <c r="S178" s="25"/>
      <c r="T178" s="53">
        <f>Q178+R178</f>
        <v>6909</v>
      </c>
      <c r="U178" s="25"/>
      <c r="V178" s="5"/>
    </row>
    <row r="179" spans="1:22" x14ac:dyDescent="0.35">
      <c r="A179" s="24"/>
      <c r="B179" s="25" t="s">
        <v>64</v>
      </c>
      <c r="C179" s="25"/>
      <c r="D179" s="25"/>
      <c r="E179" s="25"/>
      <c r="F179" s="25"/>
      <c r="G179" s="25"/>
      <c r="H179" s="25"/>
      <c r="I179" s="25"/>
      <c r="J179" s="25"/>
      <c r="K179" s="25"/>
      <c r="L179" s="25"/>
      <c r="M179" s="25"/>
      <c r="N179" s="25"/>
      <c r="O179" s="25"/>
      <c r="P179" s="25"/>
      <c r="Q179" s="34">
        <v>3847</v>
      </c>
      <c r="R179" s="34">
        <v>1289</v>
      </c>
      <c r="S179" s="25"/>
      <c r="T179" s="53">
        <f>Q179+R179</f>
        <v>5136</v>
      </c>
      <c r="U179" s="25"/>
      <c r="V179" s="5"/>
    </row>
    <row r="180" spans="1:22" x14ac:dyDescent="0.35">
      <c r="A180" s="24"/>
      <c r="B180" s="25" t="s">
        <v>65</v>
      </c>
      <c r="C180" s="25"/>
      <c r="D180" s="25"/>
      <c r="E180" s="25"/>
      <c r="F180" s="25"/>
      <c r="G180" s="25"/>
      <c r="H180" s="25"/>
      <c r="I180" s="25"/>
      <c r="J180" s="25"/>
      <c r="K180" s="25"/>
      <c r="L180" s="25"/>
      <c r="M180" s="25"/>
      <c r="N180" s="25"/>
      <c r="O180" s="25"/>
      <c r="P180" s="25"/>
      <c r="Q180" s="53">
        <f>Q178+Q179</f>
        <v>8016</v>
      </c>
      <c r="R180" s="53">
        <f>R179+R178</f>
        <v>4029</v>
      </c>
      <c r="S180" s="25"/>
      <c r="T180" s="53">
        <f>Q180+R180</f>
        <v>12045</v>
      </c>
      <c r="U180" s="25"/>
      <c r="V180" s="5"/>
    </row>
    <row r="181" spans="1:22" x14ac:dyDescent="0.35">
      <c r="A181" s="24"/>
      <c r="B181" s="25" t="s">
        <v>66</v>
      </c>
      <c r="C181" s="25"/>
      <c r="D181" s="25"/>
      <c r="E181" s="25"/>
      <c r="F181" s="25"/>
      <c r="G181" s="25"/>
      <c r="H181" s="25"/>
      <c r="I181" s="25"/>
      <c r="J181" s="25"/>
      <c r="K181" s="25"/>
      <c r="L181" s="25"/>
      <c r="M181" s="25"/>
      <c r="N181" s="25"/>
      <c r="O181" s="25"/>
      <c r="P181" s="25"/>
      <c r="Q181" s="53">
        <f>Q177-Q180-R180</f>
        <v>148011.48000000001</v>
      </c>
      <c r="R181" s="40"/>
      <c r="S181" s="25"/>
      <c r="T181" s="53"/>
      <c r="U181" s="25"/>
      <c r="V181" s="5"/>
    </row>
    <row r="182" spans="1:22" ht="16" thickBot="1" x14ac:dyDescent="0.4">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x14ac:dyDescent="0.35">
      <c r="A183" s="2"/>
      <c r="B183" s="4"/>
      <c r="C183" s="4"/>
      <c r="D183" s="4"/>
      <c r="E183" s="4"/>
      <c r="F183" s="4"/>
      <c r="G183" s="4"/>
      <c r="H183" s="4"/>
      <c r="I183" s="4"/>
      <c r="J183" s="4"/>
      <c r="K183" s="4"/>
      <c r="L183" s="4"/>
      <c r="M183" s="4"/>
      <c r="N183" s="4"/>
      <c r="O183" s="4"/>
      <c r="P183" s="4"/>
      <c r="Q183" s="4"/>
      <c r="R183" s="4"/>
      <c r="S183" s="4"/>
      <c r="T183" s="50"/>
      <c r="U183" s="4"/>
      <c r="V183" s="5"/>
    </row>
    <row r="184" spans="1:22" x14ac:dyDescent="0.35">
      <c r="A184" s="6"/>
      <c r="B184" s="119" t="s">
        <v>67</v>
      </c>
      <c r="C184" s="8"/>
      <c r="D184" s="8"/>
      <c r="E184" s="8"/>
      <c r="F184" s="8"/>
      <c r="G184" s="8"/>
      <c r="H184" s="8"/>
      <c r="I184" s="8"/>
      <c r="J184" s="8"/>
      <c r="K184" s="8"/>
      <c r="L184" s="8"/>
      <c r="M184" s="8"/>
      <c r="N184" s="8"/>
      <c r="O184" s="8"/>
      <c r="P184" s="8"/>
      <c r="Q184" s="8"/>
      <c r="R184" s="8"/>
      <c r="S184" s="8"/>
      <c r="T184" s="65"/>
      <c r="U184" s="8"/>
      <c r="V184" s="5"/>
    </row>
    <row r="185" spans="1:22" x14ac:dyDescent="0.35">
      <c r="A185" s="24"/>
      <c r="B185" s="25" t="s">
        <v>68</v>
      </c>
      <c r="C185" s="25"/>
      <c r="D185" s="25"/>
      <c r="E185" s="25"/>
      <c r="F185" s="25"/>
      <c r="G185" s="25"/>
      <c r="H185" s="25"/>
      <c r="I185" s="25"/>
      <c r="J185" s="25"/>
      <c r="K185" s="25"/>
      <c r="L185" s="25"/>
      <c r="M185" s="25"/>
      <c r="N185" s="25"/>
      <c r="O185" s="25"/>
      <c r="P185" s="25"/>
      <c r="Q185" s="25"/>
      <c r="R185" s="25"/>
      <c r="S185" s="25"/>
      <c r="T185" s="59">
        <f>(T99+T101+T102+T103+T104+T105)/-(T106+T107)</f>
        <v>1.4053421719633457</v>
      </c>
      <c r="U185" s="25" t="s">
        <v>122</v>
      </c>
      <c r="V185" s="5"/>
    </row>
    <row r="186" spans="1:22" x14ac:dyDescent="0.35">
      <c r="A186" s="24"/>
      <c r="B186" s="25" t="s">
        <v>69</v>
      </c>
      <c r="C186" s="25"/>
      <c r="D186" s="25"/>
      <c r="E186" s="25"/>
      <c r="F186" s="25"/>
      <c r="G186" s="25"/>
      <c r="H186" s="25"/>
      <c r="I186" s="25"/>
      <c r="J186" s="25"/>
      <c r="K186" s="25"/>
      <c r="L186" s="25"/>
      <c r="M186" s="25"/>
      <c r="N186" s="25"/>
      <c r="O186" s="25"/>
      <c r="P186" s="25"/>
      <c r="Q186" s="25"/>
      <c r="R186" s="25"/>
      <c r="S186" s="25"/>
      <c r="T186" s="66">
        <v>1.35</v>
      </c>
      <c r="U186" s="25" t="s">
        <v>122</v>
      </c>
      <c r="V186" s="5"/>
    </row>
    <row r="187" spans="1:22" x14ac:dyDescent="0.35">
      <c r="A187" s="24"/>
      <c r="B187" s="25" t="s">
        <v>70</v>
      </c>
      <c r="C187" s="25"/>
      <c r="D187" s="25"/>
      <c r="E187" s="25"/>
      <c r="F187" s="25"/>
      <c r="G187" s="25"/>
      <c r="H187" s="25"/>
      <c r="I187" s="25"/>
      <c r="J187" s="25"/>
      <c r="K187" s="25"/>
      <c r="L187" s="25"/>
      <c r="M187" s="25"/>
      <c r="N187" s="25"/>
      <c r="O187" s="25"/>
      <c r="P187" s="25"/>
      <c r="Q187" s="25"/>
      <c r="R187" s="25"/>
      <c r="S187" s="25"/>
      <c r="T187" s="59">
        <f>(T99+T101+T102+T103+T104+T105+T106+T107)/-(T108+T109)</f>
        <v>7.6857670979667283</v>
      </c>
      <c r="U187" s="25" t="s">
        <v>122</v>
      </c>
      <c r="V187" s="5"/>
    </row>
    <row r="188" spans="1:22" x14ac:dyDescent="0.35">
      <c r="A188" s="24"/>
      <c r="B188" s="25" t="s">
        <v>71</v>
      </c>
      <c r="C188" s="25"/>
      <c r="D188" s="25"/>
      <c r="E188" s="25"/>
      <c r="F188" s="25"/>
      <c r="G188" s="25"/>
      <c r="H188" s="25"/>
      <c r="I188" s="25"/>
      <c r="J188" s="25"/>
      <c r="K188" s="25"/>
      <c r="L188" s="25"/>
      <c r="M188" s="25"/>
      <c r="N188" s="25"/>
      <c r="O188" s="25"/>
      <c r="P188" s="25"/>
      <c r="Q188" s="25"/>
      <c r="R188" s="25"/>
      <c r="S188" s="25"/>
      <c r="T188" s="66">
        <v>6.74</v>
      </c>
      <c r="U188" s="25" t="s">
        <v>122</v>
      </c>
      <c r="V188" s="5"/>
    </row>
    <row r="189" spans="1:22" x14ac:dyDescent="0.35">
      <c r="A189" s="24"/>
      <c r="B189" s="25" t="s">
        <v>232</v>
      </c>
      <c r="C189" s="25"/>
      <c r="D189" s="25"/>
      <c r="E189" s="25"/>
      <c r="F189" s="25"/>
      <c r="G189" s="25"/>
      <c r="H189" s="25"/>
      <c r="I189" s="25"/>
      <c r="J189" s="25"/>
      <c r="K189" s="25"/>
      <c r="L189" s="25"/>
      <c r="M189" s="25"/>
      <c r="N189" s="25"/>
      <c r="O189" s="25"/>
      <c r="P189" s="25"/>
      <c r="Q189" s="25"/>
      <c r="R189" s="25"/>
      <c r="S189" s="25"/>
      <c r="T189" s="59">
        <f>(T99+T101+T102+T103+T104+T105+T106+T107+T108+T109)/-(T110+T111)</f>
        <v>3.9790979097909789</v>
      </c>
      <c r="U189" s="25" t="s">
        <v>122</v>
      </c>
      <c r="V189" s="5"/>
    </row>
    <row r="190" spans="1:22" x14ac:dyDescent="0.35">
      <c r="A190" s="24"/>
      <c r="B190" s="25" t="s">
        <v>233</v>
      </c>
      <c r="C190" s="25"/>
      <c r="D190" s="25"/>
      <c r="E190" s="25"/>
      <c r="F190" s="25"/>
      <c r="G190" s="25"/>
      <c r="H190" s="25"/>
      <c r="I190" s="25"/>
      <c r="J190" s="25"/>
      <c r="K190" s="25"/>
      <c r="L190" s="25"/>
      <c r="M190" s="25"/>
      <c r="N190" s="25"/>
      <c r="O190" s="25"/>
      <c r="P190" s="25"/>
      <c r="Q190" s="25"/>
      <c r="R190" s="25"/>
      <c r="S190" s="25"/>
      <c r="T190" s="66">
        <v>3.42</v>
      </c>
      <c r="U190" s="25" t="s">
        <v>122</v>
      </c>
      <c r="V190" s="5"/>
    </row>
    <row r="191" spans="1:22" x14ac:dyDescent="0.35">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x14ac:dyDescent="0.35">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4">
      <c r="A194" s="101"/>
      <c r="B194" s="102" t="str">
        <f>B134</f>
        <v>PM10 INVESTOR REPORT QUARTER ENDING MAY 2006</v>
      </c>
      <c r="C194" s="166"/>
      <c r="D194" s="166"/>
      <c r="E194" s="166"/>
      <c r="F194" s="166"/>
      <c r="G194" s="166"/>
      <c r="H194" s="166"/>
      <c r="I194" s="166"/>
      <c r="J194" s="166"/>
      <c r="K194" s="166"/>
      <c r="L194" s="166"/>
      <c r="M194" s="166"/>
      <c r="N194" s="166"/>
      <c r="O194" s="166"/>
      <c r="P194" s="166"/>
      <c r="Q194" s="166"/>
      <c r="R194" s="166"/>
      <c r="S194" s="166"/>
      <c r="T194" s="166"/>
      <c r="U194" s="167"/>
      <c r="V194" s="5"/>
    </row>
    <row r="195" spans="1:22" x14ac:dyDescent="0.35">
      <c r="A195" s="67"/>
      <c r="B195" s="60" t="s">
        <v>72</v>
      </c>
      <c r="C195" s="68"/>
      <c r="D195" s="68"/>
      <c r="E195" s="68"/>
      <c r="F195" s="68"/>
      <c r="G195" s="69"/>
      <c r="H195" s="69"/>
      <c r="I195" s="69"/>
      <c r="J195" s="69"/>
      <c r="K195" s="69"/>
      <c r="L195" s="69"/>
      <c r="M195" s="69"/>
      <c r="N195" s="69"/>
      <c r="O195" s="69"/>
      <c r="P195" s="69"/>
      <c r="Q195" s="69"/>
      <c r="R195" s="70">
        <v>38868</v>
      </c>
      <c r="S195" s="4"/>
      <c r="T195" s="4"/>
      <c r="U195" s="4"/>
      <c r="V195" s="5"/>
    </row>
    <row r="196" spans="1:22" x14ac:dyDescent="0.35">
      <c r="A196" s="71"/>
      <c r="B196" s="72"/>
      <c r="C196" s="73"/>
      <c r="D196" s="73"/>
      <c r="E196" s="73"/>
      <c r="F196" s="73"/>
      <c r="G196" s="74"/>
      <c r="H196" s="74"/>
      <c r="I196" s="74"/>
      <c r="J196" s="74"/>
      <c r="K196" s="74"/>
      <c r="L196" s="74"/>
      <c r="M196" s="74"/>
      <c r="N196" s="74"/>
      <c r="O196" s="74"/>
      <c r="P196" s="74"/>
      <c r="Q196" s="74"/>
      <c r="R196" s="74"/>
      <c r="S196" s="8"/>
      <c r="T196" s="8"/>
      <c r="U196" s="8"/>
      <c r="V196" s="5"/>
    </row>
    <row r="197" spans="1:22" x14ac:dyDescent="0.35">
      <c r="A197" s="75"/>
      <c r="B197" s="76" t="s">
        <v>73</v>
      </c>
      <c r="C197" s="77"/>
      <c r="D197" s="77"/>
      <c r="E197" s="77"/>
      <c r="F197" s="77"/>
      <c r="G197" s="64"/>
      <c r="H197" s="64"/>
      <c r="I197" s="64"/>
      <c r="J197" s="64"/>
      <c r="K197" s="64"/>
      <c r="L197" s="64"/>
      <c r="M197" s="64"/>
      <c r="N197" s="64"/>
      <c r="O197" s="64"/>
      <c r="P197" s="64"/>
      <c r="Q197" s="64"/>
      <c r="R197" s="78">
        <v>5.3960000000000001E-2</v>
      </c>
      <c r="S197" s="25"/>
      <c r="T197" s="25"/>
      <c r="U197" s="25"/>
      <c r="V197" s="5"/>
    </row>
    <row r="198" spans="1:22" x14ac:dyDescent="0.35">
      <c r="A198" s="75"/>
      <c r="B198" s="76" t="s">
        <v>159</v>
      </c>
      <c r="C198" s="77"/>
      <c r="D198" s="77"/>
      <c r="E198" s="77"/>
      <c r="F198" s="77"/>
      <c r="G198" s="64"/>
      <c r="H198" s="64"/>
      <c r="I198" s="64"/>
      <c r="J198" s="64"/>
      <c r="K198" s="64"/>
      <c r="L198" s="64"/>
      <c r="M198" s="64"/>
      <c r="N198" s="64"/>
      <c r="O198" s="64"/>
      <c r="P198" s="64"/>
      <c r="Q198" s="64"/>
      <c r="R198" s="39">
        <v>4.7399999999999998E-2</v>
      </c>
      <c r="S198" s="25"/>
      <c r="T198" s="25"/>
      <c r="U198" s="25"/>
      <c r="V198" s="5"/>
    </row>
    <row r="199" spans="1:22" x14ac:dyDescent="0.35">
      <c r="A199" s="75"/>
      <c r="B199" s="76" t="s">
        <v>74</v>
      </c>
      <c r="C199" s="77"/>
      <c r="D199" s="77"/>
      <c r="E199" s="77"/>
      <c r="F199" s="77"/>
      <c r="G199" s="64"/>
      <c r="H199" s="64"/>
      <c r="I199" s="64"/>
      <c r="J199" s="64"/>
      <c r="K199" s="64"/>
      <c r="L199" s="64"/>
      <c r="M199" s="64"/>
      <c r="N199" s="64"/>
      <c r="O199" s="64"/>
      <c r="P199" s="64"/>
      <c r="Q199" s="64"/>
      <c r="R199" s="78">
        <f>R197-R198</f>
        <v>6.5600000000000033E-3</v>
      </c>
      <c r="S199" s="25"/>
      <c r="T199" s="25"/>
      <c r="U199" s="25"/>
      <c r="V199" s="5"/>
    </row>
    <row r="200" spans="1:22" x14ac:dyDescent="0.35">
      <c r="A200" s="75"/>
      <c r="B200" s="76" t="s">
        <v>75</v>
      </c>
      <c r="C200" s="77"/>
      <c r="D200" s="77"/>
      <c r="E200" s="77"/>
      <c r="F200" s="77"/>
      <c r="G200" s="64"/>
      <c r="H200" s="64"/>
      <c r="I200" s="64"/>
      <c r="J200" s="64"/>
      <c r="K200" s="64"/>
      <c r="L200" s="64"/>
      <c r="M200" s="64"/>
      <c r="N200" s="64"/>
      <c r="O200" s="64"/>
      <c r="P200" s="64"/>
      <c r="Q200" s="64"/>
      <c r="R200" s="78">
        <v>5.3839999999999999E-2</v>
      </c>
      <c r="S200" s="25"/>
      <c r="T200" s="25"/>
      <c r="U200" s="25"/>
      <c r="V200" s="5"/>
    </row>
    <row r="201" spans="1:22" x14ac:dyDescent="0.35">
      <c r="A201" s="75"/>
      <c r="B201" s="76" t="s">
        <v>262</v>
      </c>
      <c r="C201" s="77"/>
      <c r="D201" s="77"/>
      <c r="E201" s="77"/>
      <c r="F201" s="77"/>
      <c r="G201" s="64"/>
      <c r="H201" s="64"/>
      <c r="I201" s="64"/>
      <c r="J201" s="64"/>
      <c r="K201" s="64"/>
      <c r="L201" s="64"/>
      <c r="M201" s="64"/>
      <c r="N201" s="64"/>
      <c r="O201" s="64"/>
      <c r="P201" s="64"/>
      <c r="Q201" s="64"/>
      <c r="R201" s="78">
        <f>T43</f>
        <v>4.6947176188506426E-2</v>
      </c>
      <c r="S201" s="25"/>
      <c r="T201" s="25"/>
      <c r="U201" s="25"/>
      <c r="V201" s="5"/>
    </row>
    <row r="202" spans="1:22" x14ac:dyDescent="0.35">
      <c r="A202" s="75"/>
      <c r="B202" s="76" t="s">
        <v>76</v>
      </c>
      <c r="C202" s="77"/>
      <c r="D202" s="77"/>
      <c r="E202" s="77"/>
      <c r="F202" s="77"/>
      <c r="G202" s="64"/>
      <c r="H202" s="64"/>
      <c r="I202" s="64"/>
      <c r="J202" s="64"/>
      <c r="K202" s="64"/>
      <c r="L202" s="64"/>
      <c r="M202" s="64"/>
      <c r="N202" s="64"/>
      <c r="O202" s="64"/>
      <c r="P202" s="64"/>
      <c r="Q202" s="64"/>
      <c r="R202" s="78">
        <f>R200-R201</f>
        <v>6.892823811493573E-3</v>
      </c>
      <c r="S202" s="25"/>
      <c r="T202" s="25"/>
      <c r="U202" s="25"/>
      <c r="V202" s="5"/>
    </row>
    <row r="203" spans="1:22" x14ac:dyDescent="0.35">
      <c r="A203" s="75"/>
      <c r="B203" s="76" t="s">
        <v>269</v>
      </c>
      <c r="C203" s="77"/>
      <c r="D203" s="77"/>
      <c r="E203" s="77"/>
      <c r="F203" s="77"/>
      <c r="G203" s="64"/>
      <c r="H203" s="64"/>
      <c r="I203" s="64"/>
      <c r="J203" s="64"/>
      <c r="K203" s="64"/>
      <c r="L203" s="64"/>
      <c r="M203" s="64"/>
      <c r="N203" s="64"/>
      <c r="O203" s="64"/>
      <c r="P203" s="64"/>
      <c r="Q203" s="64"/>
      <c r="R203" s="78">
        <f>+T99/L69</f>
        <v>1.4940457481396437E-2</v>
      </c>
      <c r="S203" s="25"/>
      <c r="T203" s="25"/>
      <c r="U203" s="25"/>
      <c r="V203" s="5"/>
    </row>
    <row r="204" spans="1:22" x14ac:dyDescent="0.35">
      <c r="A204" s="75"/>
      <c r="B204" s="76" t="s">
        <v>251</v>
      </c>
      <c r="C204" s="77"/>
      <c r="D204" s="77"/>
      <c r="E204" s="77"/>
      <c r="F204" s="77"/>
      <c r="G204" s="64"/>
      <c r="H204" s="64"/>
      <c r="I204" s="64"/>
      <c r="J204" s="64"/>
      <c r="K204" s="64"/>
      <c r="L204" s="64"/>
      <c r="M204" s="64"/>
      <c r="N204" s="64"/>
      <c r="O204" s="64"/>
      <c r="P204" s="64"/>
      <c r="Q204" s="64"/>
      <c r="R204" s="130">
        <v>51653</v>
      </c>
      <c r="S204" s="25"/>
      <c r="T204" s="25"/>
      <c r="U204" s="25"/>
      <c r="V204" s="5"/>
    </row>
    <row r="205" spans="1:22" x14ac:dyDescent="0.35">
      <c r="A205" s="75"/>
      <c r="B205" s="76" t="s">
        <v>252</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253</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77</v>
      </c>
      <c r="C207" s="77"/>
      <c r="D207" s="77"/>
      <c r="E207" s="77"/>
      <c r="F207" s="77"/>
      <c r="G207" s="64"/>
      <c r="H207" s="64"/>
      <c r="I207" s="64"/>
      <c r="J207" s="64"/>
      <c r="K207" s="64"/>
      <c r="L207" s="64"/>
      <c r="M207" s="64"/>
      <c r="N207" s="64"/>
      <c r="O207" s="64"/>
      <c r="P207" s="64"/>
      <c r="Q207" s="64"/>
      <c r="R207" s="134">
        <v>21.48</v>
      </c>
      <c r="S207" s="25" t="s">
        <v>117</v>
      </c>
      <c r="T207" s="25"/>
      <c r="U207" s="25"/>
      <c r="V207" s="5"/>
    </row>
    <row r="208" spans="1:22" x14ac:dyDescent="0.35">
      <c r="A208" s="75"/>
      <c r="B208" s="76" t="s">
        <v>78</v>
      </c>
      <c r="C208" s="77"/>
      <c r="D208" s="77"/>
      <c r="E208" s="77"/>
      <c r="F208" s="77"/>
      <c r="G208" s="64"/>
      <c r="H208" s="64"/>
      <c r="I208" s="64"/>
      <c r="J208" s="64"/>
      <c r="K208" s="64"/>
      <c r="L208" s="64"/>
      <c r="M208" s="64"/>
      <c r="N208" s="64"/>
      <c r="O208" s="64"/>
      <c r="P208" s="64"/>
      <c r="Q208" s="64"/>
      <c r="R208" s="134">
        <v>20.97</v>
      </c>
      <c r="S208" s="25" t="s">
        <v>117</v>
      </c>
      <c r="T208" s="25"/>
      <c r="U208" s="25"/>
      <c r="V208" s="5"/>
    </row>
    <row r="209" spans="1:22" x14ac:dyDescent="0.35">
      <c r="A209" s="75"/>
      <c r="B209" s="76" t="s">
        <v>79</v>
      </c>
      <c r="C209" s="77"/>
      <c r="D209" s="77"/>
      <c r="E209" s="77"/>
      <c r="F209" s="77"/>
      <c r="G209" s="64"/>
      <c r="H209" s="64"/>
      <c r="I209" s="64"/>
      <c r="J209" s="64"/>
      <c r="K209" s="64"/>
      <c r="L209" s="64"/>
      <c r="M209" s="64"/>
      <c r="N209" s="64"/>
      <c r="O209" s="64"/>
      <c r="P209" s="64"/>
      <c r="Q209" s="64"/>
      <c r="R209" s="78">
        <f>+N69/L69</f>
        <v>1.7608576790798223E-2</v>
      </c>
      <c r="S209" s="25"/>
      <c r="T209" s="25"/>
      <c r="U209" s="25"/>
      <c r="V209" s="5"/>
    </row>
    <row r="210" spans="1:22" x14ac:dyDescent="0.35">
      <c r="A210" s="75"/>
      <c r="B210" s="76" t="s">
        <v>80</v>
      </c>
      <c r="C210" s="77"/>
      <c r="D210" s="77"/>
      <c r="E210" s="77"/>
      <c r="F210" s="77"/>
      <c r="G210" s="64"/>
      <c r="H210" s="64"/>
      <c r="I210" s="64"/>
      <c r="J210" s="64"/>
      <c r="K210" s="64"/>
      <c r="L210" s="64"/>
      <c r="M210" s="64"/>
      <c r="N210" s="64"/>
      <c r="O210" s="64"/>
      <c r="P210" s="64"/>
      <c r="Q210" s="64"/>
      <c r="R210" s="78">
        <v>6.0600000000000001E-2</v>
      </c>
      <c r="S210" s="25"/>
      <c r="T210" s="25"/>
      <c r="U210" s="25"/>
      <c r="V210" s="5"/>
    </row>
    <row r="211" spans="1:22" x14ac:dyDescent="0.35">
      <c r="A211" s="75"/>
      <c r="B211" s="76"/>
      <c r="C211" s="76"/>
      <c r="D211" s="76"/>
      <c r="E211" s="76"/>
      <c r="F211" s="76"/>
      <c r="G211" s="25"/>
      <c r="H211" s="25"/>
      <c r="I211" s="25"/>
      <c r="J211" s="25"/>
      <c r="K211" s="25"/>
      <c r="L211" s="25"/>
      <c r="M211" s="25"/>
      <c r="N211" s="25"/>
      <c r="O211" s="25"/>
      <c r="P211" s="25"/>
      <c r="Q211" s="25"/>
      <c r="R211" s="61"/>
      <c r="S211" s="25"/>
      <c r="T211" s="79"/>
      <c r="U211" s="25"/>
      <c r="V211" s="5"/>
    </row>
    <row r="212" spans="1:22" x14ac:dyDescent="0.35">
      <c r="A212" s="80"/>
      <c r="B212" s="14" t="s">
        <v>81</v>
      </c>
      <c r="C212" s="81"/>
      <c r="D212" s="81"/>
      <c r="E212" s="81"/>
      <c r="F212" s="82"/>
      <c r="G212" s="81"/>
      <c r="H212" s="17"/>
      <c r="I212" s="17"/>
      <c r="J212" s="17"/>
      <c r="K212" s="17"/>
      <c r="L212" s="17"/>
      <c r="M212" s="17"/>
      <c r="N212" s="17"/>
      <c r="O212" s="17"/>
      <c r="P212" s="17"/>
      <c r="Q212" s="17" t="s">
        <v>106</v>
      </c>
      <c r="R212" s="83" t="s">
        <v>113</v>
      </c>
      <c r="S212" s="8"/>
      <c r="T212" s="8"/>
      <c r="U212" s="8"/>
      <c r="V212" s="5"/>
    </row>
    <row r="213" spans="1:22" x14ac:dyDescent="0.35">
      <c r="A213" s="84"/>
      <c r="B213" s="76" t="s">
        <v>82</v>
      </c>
      <c r="C213" s="54"/>
      <c r="D213" s="54"/>
      <c r="E213" s="54"/>
      <c r="F213" s="25"/>
      <c r="G213" s="25"/>
      <c r="H213" s="30"/>
      <c r="I213" s="30"/>
      <c r="J213" s="30"/>
      <c r="K213" s="30"/>
      <c r="L213" s="30"/>
      <c r="M213" s="30"/>
      <c r="N213" s="30"/>
      <c r="O213" s="30"/>
      <c r="P213" s="30"/>
      <c r="Q213" s="30">
        <v>9</v>
      </c>
      <c r="R213" s="85">
        <v>590</v>
      </c>
      <c r="S213" s="25"/>
      <c r="T213" s="79"/>
      <c r="U213" s="86"/>
      <c r="V213" s="5"/>
    </row>
    <row r="214" spans="1:22" x14ac:dyDescent="0.35">
      <c r="A214" s="84"/>
      <c r="B214" s="76" t="s">
        <v>152</v>
      </c>
      <c r="C214" s="54"/>
      <c r="D214" s="54"/>
      <c r="E214" s="54"/>
      <c r="F214" s="25"/>
      <c r="G214" s="25"/>
      <c r="H214" s="30"/>
      <c r="I214" s="30"/>
      <c r="J214" s="30"/>
      <c r="K214" s="30"/>
      <c r="L214" s="30"/>
      <c r="M214" s="30"/>
      <c r="N214" s="30"/>
      <c r="O214" s="30"/>
      <c r="P214" s="30"/>
      <c r="Q214" s="153">
        <f>+P255</f>
        <v>14</v>
      </c>
      <c r="R214" s="85">
        <f>+R255</f>
        <v>2373</v>
      </c>
      <c r="S214" s="25"/>
      <c r="T214" s="79"/>
      <c r="U214" s="86"/>
      <c r="V214" s="5"/>
    </row>
    <row r="215" spans="1:22" x14ac:dyDescent="0.35">
      <c r="A215" s="84"/>
      <c r="B215" s="76" t="s">
        <v>83</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122" t="s">
        <v>84</v>
      </c>
      <c r="C216" s="54"/>
      <c r="D216" s="54"/>
      <c r="E216" s="54"/>
      <c r="F216" s="25"/>
      <c r="G216" s="25"/>
      <c r="H216" s="25"/>
      <c r="I216" s="25"/>
      <c r="J216" s="25"/>
      <c r="K216" s="25"/>
      <c r="L216" s="25"/>
      <c r="M216" s="25"/>
      <c r="N216" s="25"/>
      <c r="O216" s="25"/>
      <c r="P216" s="25"/>
      <c r="Q216" s="25"/>
      <c r="R216" s="85">
        <v>0</v>
      </c>
      <c r="S216" s="25"/>
      <c r="T216" s="79"/>
      <c r="U216" s="86"/>
      <c r="V216" s="5"/>
    </row>
    <row r="217" spans="1:22" x14ac:dyDescent="0.35">
      <c r="A217" s="84"/>
      <c r="B217" s="122" t="s">
        <v>85</v>
      </c>
      <c r="C217" s="54"/>
      <c r="D217" s="54"/>
      <c r="E217" s="54"/>
      <c r="F217" s="25"/>
      <c r="G217" s="25"/>
      <c r="H217" s="25"/>
      <c r="I217" s="25"/>
      <c r="J217" s="25"/>
      <c r="K217" s="25"/>
      <c r="L217" s="25"/>
      <c r="M217" s="25"/>
      <c r="N217" s="25"/>
      <c r="O217" s="25"/>
      <c r="P217" s="25"/>
      <c r="Q217" s="25"/>
      <c r="R217" s="62" t="s">
        <v>114</v>
      </c>
      <c r="S217" s="25"/>
      <c r="T217" s="79"/>
      <c r="U217" s="86"/>
      <c r="V217" s="5"/>
    </row>
    <row r="218" spans="1:22" x14ac:dyDescent="0.35">
      <c r="A218" s="87"/>
      <c r="B218" s="122" t="s">
        <v>86</v>
      </c>
      <c r="C218" s="76"/>
      <c r="D218" s="76"/>
      <c r="E218" s="76"/>
      <c r="F218" s="76"/>
      <c r="G218" s="25"/>
      <c r="H218" s="25"/>
      <c r="I218" s="25"/>
      <c r="J218" s="25"/>
      <c r="K218" s="25"/>
      <c r="L218" s="25"/>
      <c r="M218" s="25"/>
      <c r="N218" s="25"/>
      <c r="O218" s="25"/>
      <c r="P218" s="25"/>
      <c r="Q218" s="25"/>
      <c r="R218" s="85"/>
      <c r="S218" s="25"/>
      <c r="T218" s="79"/>
      <c r="U218" s="88"/>
      <c r="V218" s="5"/>
    </row>
    <row r="219" spans="1:22" x14ac:dyDescent="0.35">
      <c r="A219" s="87"/>
      <c r="B219" s="132" t="s">
        <v>87</v>
      </c>
      <c r="C219" s="76"/>
      <c r="D219" s="76"/>
      <c r="E219" s="76"/>
      <c r="F219" s="76"/>
      <c r="G219" s="25"/>
      <c r="H219" s="25"/>
      <c r="I219" s="25"/>
      <c r="J219" s="25"/>
      <c r="K219" s="25"/>
      <c r="L219" s="25"/>
      <c r="M219" s="25"/>
      <c r="N219" s="25"/>
      <c r="O219" s="25"/>
      <c r="P219" s="25"/>
      <c r="Q219" s="30">
        <v>0</v>
      </c>
      <c r="R219" s="85">
        <f>T164</f>
        <v>0</v>
      </c>
      <c r="S219" s="25"/>
      <c r="T219" s="79"/>
      <c r="U219" s="88"/>
      <c r="V219" s="5"/>
    </row>
    <row r="220" spans="1:22" x14ac:dyDescent="0.35">
      <c r="A220" s="84"/>
      <c r="B220" s="76" t="s">
        <v>88</v>
      </c>
      <c r="C220" s="54"/>
      <c r="D220" s="54"/>
      <c r="E220" s="54"/>
      <c r="F220" s="54"/>
      <c r="G220" s="25"/>
      <c r="H220" s="25"/>
      <c r="I220" s="25"/>
      <c r="J220" s="25"/>
      <c r="K220" s="25"/>
      <c r="L220" s="25"/>
      <c r="M220" s="25"/>
      <c r="N220" s="25"/>
      <c r="O220" s="25"/>
      <c r="P220" s="25"/>
      <c r="Q220" s="85">
        <f>'Feb 06'!Q219+Q219</f>
        <v>0</v>
      </c>
      <c r="R220" s="85">
        <f>'Feb 06'!R219+R219</f>
        <v>0</v>
      </c>
      <c r="S220" s="25"/>
      <c r="T220" s="79"/>
      <c r="U220" s="88"/>
      <c r="V220" s="5"/>
    </row>
    <row r="221" spans="1:22" x14ac:dyDescent="0.35">
      <c r="A221" s="84"/>
      <c r="B221" s="76" t="s">
        <v>89</v>
      </c>
      <c r="C221" s="54"/>
      <c r="D221" s="54"/>
      <c r="E221" s="54"/>
      <c r="F221" s="54"/>
      <c r="G221" s="25"/>
      <c r="H221" s="25"/>
      <c r="I221" s="25"/>
      <c r="J221" s="25"/>
      <c r="K221" s="25"/>
      <c r="L221" s="25"/>
      <c r="M221" s="25"/>
      <c r="N221" s="25"/>
      <c r="O221" s="25"/>
      <c r="P221" s="25"/>
      <c r="Q221" s="30"/>
      <c r="R221" s="85">
        <v>0</v>
      </c>
      <c r="S221" s="25"/>
      <c r="T221" s="79"/>
      <c r="U221" s="88"/>
      <c r="V221" s="5"/>
    </row>
    <row r="222" spans="1:22" x14ac:dyDescent="0.35">
      <c r="A222" s="87"/>
      <c r="B222" s="122" t="s">
        <v>295</v>
      </c>
      <c r="C222" s="76"/>
      <c r="D222" s="76"/>
      <c r="E222" s="76"/>
      <c r="F222" s="76"/>
      <c r="G222" s="25"/>
      <c r="H222" s="25"/>
      <c r="I222" s="25"/>
      <c r="J222" s="25"/>
      <c r="K222" s="25"/>
      <c r="L222" s="25"/>
      <c r="M222" s="25"/>
      <c r="N222" s="25"/>
      <c r="O222" s="25"/>
      <c r="P222" s="25"/>
      <c r="Q222" s="30"/>
      <c r="R222" s="85"/>
      <c r="S222" s="25"/>
      <c r="T222" s="79"/>
      <c r="U222" s="88"/>
      <c r="V222" s="5"/>
    </row>
    <row r="223" spans="1:22" x14ac:dyDescent="0.35">
      <c r="A223" s="87"/>
      <c r="B223" s="76" t="s">
        <v>292</v>
      </c>
      <c r="C223" s="76"/>
      <c r="D223" s="76"/>
      <c r="E223" s="76"/>
      <c r="F223" s="76"/>
      <c r="G223" s="25"/>
      <c r="H223" s="25"/>
      <c r="I223" s="25"/>
      <c r="J223" s="25"/>
      <c r="K223" s="25"/>
      <c r="L223" s="25"/>
      <c r="M223" s="25"/>
      <c r="N223" s="25"/>
      <c r="O223" s="25"/>
      <c r="P223" s="25"/>
      <c r="Q223" s="30">
        <v>0</v>
      </c>
      <c r="R223" s="85">
        <v>0</v>
      </c>
      <c r="S223" s="25"/>
      <c r="T223" s="79"/>
      <c r="U223" s="88"/>
      <c r="V223" s="5"/>
    </row>
    <row r="224" spans="1:22" x14ac:dyDescent="0.35">
      <c r="A224" s="84"/>
      <c r="B224" s="76" t="s">
        <v>90</v>
      </c>
      <c r="C224" s="89"/>
      <c r="D224" s="89"/>
      <c r="E224" s="89"/>
      <c r="F224" s="90"/>
      <c r="G224" s="25"/>
      <c r="H224" s="25"/>
      <c r="I224" s="25"/>
      <c r="J224" s="25"/>
      <c r="K224" s="25"/>
      <c r="L224" s="25"/>
      <c r="M224" s="25"/>
      <c r="N224" s="25"/>
      <c r="O224" s="25"/>
      <c r="P224" s="25"/>
      <c r="Q224" s="25"/>
      <c r="R224" s="62">
        <v>0</v>
      </c>
      <c r="S224" s="25"/>
      <c r="T224" s="79"/>
      <c r="U224" s="88"/>
      <c r="V224" s="5"/>
    </row>
    <row r="225" spans="1:23" x14ac:dyDescent="0.35">
      <c r="A225" s="84"/>
      <c r="B225" s="76" t="s">
        <v>91</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122" t="s">
        <v>260</v>
      </c>
      <c r="C226" s="89"/>
      <c r="D226" s="89"/>
      <c r="E226" s="89"/>
      <c r="F226" s="90"/>
      <c r="G226" s="25"/>
      <c r="H226" s="25"/>
      <c r="I226" s="25"/>
      <c r="J226" s="25"/>
      <c r="K226" s="25"/>
      <c r="L226" s="25"/>
      <c r="M226" s="25"/>
      <c r="N226" s="25"/>
      <c r="O226" s="25"/>
      <c r="P226" s="25"/>
      <c r="Q226" s="25"/>
      <c r="R226" s="91"/>
      <c r="S226" s="25"/>
      <c r="T226" s="79"/>
      <c r="U226" s="88"/>
      <c r="V226" s="5"/>
    </row>
    <row r="227" spans="1:23" x14ac:dyDescent="0.35">
      <c r="A227" s="84"/>
      <c r="B227" s="76" t="s">
        <v>292</v>
      </c>
      <c r="C227" s="89"/>
      <c r="D227" s="89"/>
      <c r="E227" s="89"/>
      <c r="F227" s="90"/>
      <c r="G227" s="25"/>
      <c r="H227" s="25"/>
      <c r="I227" s="25"/>
      <c r="J227" s="25"/>
      <c r="K227" s="25"/>
      <c r="L227" s="25"/>
      <c r="M227" s="25"/>
      <c r="N227" s="25"/>
      <c r="O227" s="25"/>
      <c r="P227" s="25"/>
      <c r="Q227" s="30">
        <v>0</v>
      </c>
      <c r="R227" s="85">
        <v>0</v>
      </c>
      <c r="S227" s="25"/>
      <c r="T227" s="79"/>
      <c r="U227" s="88"/>
      <c r="V227" s="5"/>
    </row>
    <row r="228" spans="1:23" x14ac:dyDescent="0.35">
      <c r="A228" s="84"/>
      <c r="B228" s="76" t="s">
        <v>261</v>
      </c>
      <c r="C228" s="89"/>
      <c r="D228" s="89"/>
      <c r="E228" s="89"/>
      <c r="F228" s="90"/>
      <c r="G228" s="25"/>
      <c r="H228" s="25"/>
      <c r="I228" s="25"/>
      <c r="J228" s="25"/>
      <c r="K228" s="25"/>
      <c r="L228" s="25"/>
      <c r="M228" s="25"/>
      <c r="N228" s="25"/>
      <c r="O228" s="25"/>
      <c r="P228" s="25"/>
      <c r="Q228" s="25"/>
      <c r="R228" s="62">
        <v>0</v>
      </c>
      <c r="S228" s="25"/>
      <c r="T228" s="79"/>
      <c r="U228" s="88"/>
      <c r="V228" s="5"/>
    </row>
    <row r="229" spans="1:23" x14ac:dyDescent="0.35">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7.5" x14ac:dyDescent="0.35">
      <c r="A231" s="84"/>
      <c r="B231" s="150" t="s">
        <v>178</v>
      </c>
      <c r="C231" s="89"/>
      <c r="D231" s="89"/>
      <c r="E231" s="89"/>
      <c r="F231" s="90"/>
      <c r="G231" s="25"/>
      <c r="H231" s="25"/>
      <c r="I231" s="25"/>
      <c r="J231" s="25"/>
      <c r="K231" s="25"/>
      <c r="L231" s="25"/>
      <c r="M231" s="25"/>
      <c r="N231" s="151" t="s">
        <v>177</v>
      </c>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x14ac:dyDescent="0.35">
      <c r="A233" s="6"/>
      <c r="B233" s="14" t="s">
        <v>171</v>
      </c>
      <c r="C233" s="81"/>
      <c r="D233" s="81"/>
      <c r="E233" s="81"/>
      <c r="F233" s="82"/>
      <c r="G233" s="81"/>
      <c r="H233" s="17"/>
      <c r="I233" s="17"/>
      <c r="J233" s="17"/>
      <c r="K233" s="17"/>
      <c r="L233" s="17"/>
      <c r="M233" s="17"/>
      <c r="N233" s="17"/>
      <c r="O233" s="17"/>
      <c r="P233" s="83" t="s">
        <v>106</v>
      </c>
      <c r="Q233" s="17" t="s">
        <v>107</v>
      </c>
      <c r="R233" s="83" t="s">
        <v>115</v>
      </c>
      <c r="S233" s="17" t="s">
        <v>107</v>
      </c>
      <c r="T233" s="8"/>
      <c r="U233" s="92"/>
      <c r="V233" s="5"/>
    </row>
    <row r="234" spans="1:23" x14ac:dyDescent="0.35">
      <c r="A234" s="24"/>
      <c r="B234" s="54" t="s">
        <v>92</v>
      </c>
      <c r="C234" s="93"/>
      <c r="D234" s="93"/>
      <c r="E234" s="93"/>
      <c r="F234" s="25"/>
      <c r="G234" s="93"/>
      <c r="H234" s="93"/>
      <c r="I234" s="93"/>
      <c r="J234" s="93"/>
      <c r="K234" s="93"/>
      <c r="L234" s="93"/>
      <c r="M234" s="93"/>
      <c r="N234" s="93"/>
      <c r="O234" s="93"/>
      <c r="P234" s="54">
        <v>7400</v>
      </c>
      <c r="Q234" s="94">
        <f t="shared" ref="Q234:Q241" si="1">P234/$P$243</f>
        <v>0.99222311611692138</v>
      </c>
      <c r="R234" s="53">
        <v>967058</v>
      </c>
      <c r="S234" s="133">
        <f t="shared" ref="S234:S241" si="2">R234/$R$243</f>
        <v>0.99184113442589994</v>
      </c>
      <c r="T234" s="79"/>
      <c r="U234" s="88"/>
      <c r="V234" s="5"/>
    </row>
    <row r="235" spans="1:23" x14ac:dyDescent="0.35">
      <c r="A235" s="24"/>
      <c r="B235" s="54" t="s">
        <v>93</v>
      </c>
      <c r="C235" s="93"/>
      <c r="D235" s="93"/>
      <c r="E235" s="93"/>
      <c r="F235" s="25"/>
      <c r="G235" s="94"/>
      <c r="H235" s="93"/>
      <c r="I235" s="93"/>
      <c r="J235" s="93"/>
      <c r="K235" s="93"/>
      <c r="L235" s="93"/>
      <c r="M235" s="93"/>
      <c r="N235" s="93"/>
      <c r="O235" s="93"/>
      <c r="P235" s="54">
        <v>32</v>
      </c>
      <c r="Q235" s="94">
        <f t="shared" si="1"/>
        <v>4.2906945561812819E-3</v>
      </c>
      <c r="R235" s="53">
        <v>3501</v>
      </c>
      <c r="S235" s="133">
        <f t="shared" si="2"/>
        <v>3.5907213544845041E-3</v>
      </c>
      <c r="T235" s="79"/>
      <c r="U235" s="88"/>
      <c r="V235" s="5"/>
      <c r="W235" s="109"/>
    </row>
    <row r="236" spans="1:23" x14ac:dyDescent="0.35">
      <c r="A236" s="24"/>
      <c r="B236" s="54" t="s">
        <v>94</v>
      </c>
      <c r="C236" s="93"/>
      <c r="D236" s="93"/>
      <c r="E236" s="93"/>
      <c r="F236" s="25"/>
      <c r="G236" s="94"/>
      <c r="H236" s="93"/>
      <c r="I236" s="93"/>
      <c r="J236" s="93"/>
      <c r="K236" s="93"/>
      <c r="L236" s="93"/>
      <c r="M236" s="93"/>
      <c r="N236" s="93"/>
      <c r="O236" s="93"/>
      <c r="P236" s="54">
        <v>11</v>
      </c>
      <c r="Q236" s="94">
        <f t="shared" si="1"/>
        <v>1.4749262536873156E-3</v>
      </c>
      <c r="R236" s="53">
        <v>3101</v>
      </c>
      <c r="S236" s="133">
        <f t="shared" si="2"/>
        <v>3.1804704142406304E-3</v>
      </c>
      <c r="T236" s="79"/>
      <c r="U236" s="88"/>
      <c r="V236" s="5"/>
    </row>
    <row r="237" spans="1:23" x14ac:dyDescent="0.35">
      <c r="A237" s="24"/>
      <c r="B237" s="54" t="s">
        <v>164</v>
      </c>
      <c r="C237" s="93"/>
      <c r="D237" s="93"/>
      <c r="E237" s="93"/>
      <c r="F237" s="25"/>
      <c r="G237" s="94"/>
      <c r="H237" s="93"/>
      <c r="I237" s="93"/>
      <c r="J237" s="93"/>
      <c r="K237" s="93"/>
      <c r="L237" s="93"/>
      <c r="M237" s="93"/>
      <c r="N237" s="93"/>
      <c r="O237" s="93"/>
      <c r="P237" s="54">
        <v>14</v>
      </c>
      <c r="Q237" s="94">
        <f t="shared" si="1"/>
        <v>1.8771788683293108E-3</v>
      </c>
      <c r="R237" s="53">
        <v>1234</v>
      </c>
      <c r="S237" s="133">
        <f t="shared" si="2"/>
        <v>1.2656241506523503E-3</v>
      </c>
      <c r="T237" s="79"/>
      <c r="U237" s="88"/>
      <c r="V237" s="5"/>
      <c r="W237" s="109"/>
    </row>
    <row r="238" spans="1:23" x14ac:dyDescent="0.35">
      <c r="A238" s="24"/>
      <c r="B238" s="54" t="s">
        <v>165</v>
      </c>
      <c r="C238" s="93"/>
      <c r="D238" s="93"/>
      <c r="E238" s="93"/>
      <c r="F238" s="25"/>
      <c r="G238" s="94"/>
      <c r="H238" s="93"/>
      <c r="I238" s="93"/>
      <c r="J238" s="93"/>
      <c r="K238" s="93"/>
      <c r="L238" s="93"/>
      <c r="M238" s="93"/>
      <c r="N238" s="93"/>
      <c r="O238" s="93"/>
      <c r="P238" s="54">
        <v>0</v>
      </c>
      <c r="Q238" s="94">
        <f t="shared" si="1"/>
        <v>0</v>
      </c>
      <c r="R238" s="53">
        <v>0</v>
      </c>
      <c r="S238" s="133">
        <f t="shared" si="2"/>
        <v>0</v>
      </c>
      <c r="T238" s="79"/>
      <c r="U238" s="88"/>
      <c r="V238" s="5"/>
    </row>
    <row r="239" spans="1:23" x14ac:dyDescent="0.35">
      <c r="A239" s="24"/>
      <c r="B239" s="54" t="s">
        <v>166</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c r="W239" s="109"/>
    </row>
    <row r="240" spans="1:23" x14ac:dyDescent="0.35">
      <c r="A240" s="24"/>
      <c r="B240" s="54" t="s">
        <v>167</v>
      </c>
      <c r="C240" s="93"/>
      <c r="D240" s="93"/>
      <c r="E240" s="93"/>
      <c r="F240" s="25"/>
      <c r="G240" s="94"/>
      <c r="H240" s="93"/>
      <c r="I240" s="93"/>
      <c r="J240" s="93"/>
      <c r="K240" s="93"/>
      <c r="L240" s="93"/>
      <c r="M240" s="93"/>
      <c r="N240" s="93"/>
      <c r="O240" s="93"/>
      <c r="P240" s="54">
        <v>1</v>
      </c>
      <c r="Q240" s="94">
        <f t="shared" si="1"/>
        <v>1.3408420488066506E-4</v>
      </c>
      <c r="R240" s="53">
        <v>119</v>
      </c>
      <c r="S240" s="133">
        <f t="shared" si="2"/>
        <v>1.2204965472255241E-4</v>
      </c>
      <c r="T240" s="79"/>
      <c r="U240" s="88"/>
      <c r="V240" s="5"/>
    </row>
    <row r="241" spans="1:23" x14ac:dyDescent="0.35">
      <c r="A241" s="24"/>
      <c r="B241" s="54" t="s">
        <v>168</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c r="W241" s="109"/>
    </row>
    <row r="242" spans="1:23" x14ac:dyDescent="0.35">
      <c r="A242" s="24"/>
      <c r="B242" s="54"/>
      <c r="C242" s="93"/>
      <c r="D242" s="93"/>
      <c r="E242" s="93"/>
      <c r="F242" s="25"/>
      <c r="G242" s="94"/>
      <c r="H242" s="93"/>
      <c r="I242" s="93"/>
      <c r="J242" s="93"/>
      <c r="K242" s="93"/>
      <c r="L242" s="93"/>
      <c r="M242" s="93"/>
      <c r="N242" s="93"/>
      <c r="O242" s="93"/>
      <c r="P242" s="54"/>
      <c r="Q242" s="94"/>
      <c r="R242" s="53"/>
      <c r="S242" s="133"/>
      <c r="T242" s="79"/>
      <c r="U242" s="88"/>
      <c r="V242" s="5"/>
    </row>
    <row r="243" spans="1:23" x14ac:dyDescent="0.35">
      <c r="A243" s="24"/>
      <c r="B243" s="25"/>
      <c r="C243" s="25"/>
      <c r="D243" s="25"/>
      <c r="E243" s="25"/>
      <c r="F243" s="25"/>
      <c r="G243" s="25"/>
      <c r="H243" s="95"/>
      <c r="I243" s="95"/>
      <c r="J243" s="95"/>
      <c r="K243" s="95"/>
      <c r="L243" s="95"/>
      <c r="M243" s="95"/>
      <c r="N243" s="95"/>
      <c r="O243" s="95"/>
      <c r="P243" s="34">
        <f>SUM(P234:P242)</f>
        <v>7458</v>
      </c>
      <c r="Q243" s="133">
        <f>SUM(Q234:Q242)</f>
        <v>0.99999999999999989</v>
      </c>
      <c r="R243" s="53">
        <f>SUM(R234:R242)</f>
        <v>975013</v>
      </c>
      <c r="S243" s="133">
        <f>SUM(S234:S242)</f>
        <v>0.99999999999999989</v>
      </c>
      <c r="T243" s="25"/>
      <c r="U243" s="25"/>
      <c r="V243" s="5"/>
    </row>
    <row r="244" spans="1:23" x14ac:dyDescent="0.35">
      <c r="A244" s="24"/>
      <c r="B244" s="25"/>
      <c r="C244" s="25"/>
      <c r="D244" s="25"/>
      <c r="E244" s="25"/>
      <c r="F244" s="25"/>
      <c r="G244" s="25"/>
      <c r="H244" s="95"/>
      <c r="I244" s="95"/>
      <c r="J244" s="95"/>
      <c r="K244" s="95"/>
      <c r="L244" s="95"/>
      <c r="M244" s="95"/>
      <c r="N244" s="95"/>
      <c r="O244" s="95"/>
      <c r="P244" s="34"/>
      <c r="Q244" s="133"/>
      <c r="R244" s="53"/>
      <c r="S244" s="133"/>
      <c r="T244" s="25"/>
      <c r="U244" s="25"/>
      <c r="V244" s="5"/>
    </row>
    <row r="245" spans="1:23" x14ac:dyDescent="0.35">
      <c r="A245" s="142"/>
      <c r="B245" s="14" t="s">
        <v>172</v>
      </c>
      <c r="C245" s="81"/>
      <c r="D245" s="81"/>
      <c r="E245" s="81"/>
      <c r="F245" s="82"/>
      <c r="G245" s="81"/>
      <c r="H245" s="17"/>
      <c r="I245" s="17"/>
      <c r="J245" s="17"/>
      <c r="K245" s="17"/>
      <c r="L245" s="17"/>
      <c r="M245" s="17"/>
      <c r="N245" s="17"/>
      <c r="O245" s="17"/>
      <c r="P245" s="83" t="s">
        <v>106</v>
      </c>
      <c r="Q245" s="17" t="s">
        <v>107</v>
      </c>
      <c r="R245" s="83" t="s">
        <v>115</v>
      </c>
      <c r="S245" s="17" t="s">
        <v>107</v>
      </c>
      <c r="T245" s="140"/>
      <c r="U245" s="141"/>
      <c r="V245" s="5"/>
    </row>
    <row r="246" spans="1:23" x14ac:dyDescent="0.35">
      <c r="A246" s="24"/>
      <c r="B246" s="54" t="s">
        <v>92</v>
      </c>
      <c r="C246" s="93"/>
      <c r="D246" s="93"/>
      <c r="E246" s="93"/>
      <c r="F246" s="25"/>
      <c r="G246" s="93"/>
      <c r="H246" s="93"/>
      <c r="I246" s="93"/>
      <c r="J246" s="93"/>
      <c r="K246" s="93"/>
      <c r="L246" s="93"/>
      <c r="M246" s="93"/>
      <c r="N246" s="93"/>
      <c r="O246" s="93"/>
      <c r="P246" s="54">
        <v>0</v>
      </c>
      <c r="Q246" s="94">
        <f t="shared" ref="Q246:Q253" si="3">P246/$P$255</f>
        <v>0</v>
      </c>
      <c r="R246" s="53">
        <v>0</v>
      </c>
      <c r="S246" s="133">
        <f t="shared" ref="S246:S253" si="4">R246/$R$255</f>
        <v>0</v>
      </c>
      <c r="T246" s="25"/>
      <c r="U246" s="25"/>
      <c r="V246" s="5"/>
    </row>
    <row r="247" spans="1:23" x14ac:dyDescent="0.35">
      <c r="A247" s="24"/>
      <c r="B247" s="54" t="s">
        <v>93</v>
      </c>
      <c r="C247" s="93"/>
      <c r="D247" s="93"/>
      <c r="E247" s="93"/>
      <c r="F247" s="25"/>
      <c r="G247" s="94"/>
      <c r="H247" s="93"/>
      <c r="I247" s="93"/>
      <c r="J247" s="93"/>
      <c r="K247" s="93"/>
      <c r="L247" s="93"/>
      <c r="M247" s="93"/>
      <c r="N247" s="93"/>
      <c r="O247" s="93"/>
      <c r="P247" s="54">
        <v>0</v>
      </c>
      <c r="Q247" s="94">
        <f t="shared" si="3"/>
        <v>0</v>
      </c>
      <c r="R247" s="53">
        <v>0</v>
      </c>
      <c r="S247" s="133">
        <f t="shared" si="4"/>
        <v>0</v>
      </c>
      <c r="T247" s="25"/>
      <c r="U247" s="25"/>
      <c r="V247" s="5"/>
    </row>
    <row r="248" spans="1:23" x14ac:dyDescent="0.35">
      <c r="A248" s="24"/>
      <c r="B248" s="54" t="s">
        <v>94</v>
      </c>
      <c r="C248" s="93"/>
      <c r="D248" s="93"/>
      <c r="E248" s="93"/>
      <c r="F248" s="25"/>
      <c r="G248" s="94"/>
      <c r="H248" s="93"/>
      <c r="I248" s="93"/>
      <c r="J248" s="93"/>
      <c r="K248" s="93"/>
      <c r="L248" s="93"/>
      <c r="M248" s="93"/>
      <c r="N248" s="93"/>
      <c r="O248" s="93"/>
      <c r="P248" s="54">
        <v>0</v>
      </c>
      <c r="Q248" s="94">
        <f t="shared" si="3"/>
        <v>0</v>
      </c>
      <c r="R248" s="53">
        <v>0</v>
      </c>
      <c r="S248" s="133">
        <f t="shared" si="4"/>
        <v>0</v>
      </c>
      <c r="T248" s="25"/>
      <c r="U248" s="25"/>
      <c r="V248" s="5"/>
    </row>
    <row r="249" spans="1:23" x14ac:dyDescent="0.35">
      <c r="A249" s="24"/>
      <c r="B249" s="54" t="s">
        <v>164</v>
      </c>
      <c r="C249" s="93"/>
      <c r="D249" s="93"/>
      <c r="E249" s="93"/>
      <c r="F249" s="25"/>
      <c r="G249" s="94"/>
      <c r="H249" s="93"/>
      <c r="I249" s="93"/>
      <c r="J249" s="93"/>
      <c r="K249" s="93"/>
      <c r="L249" s="93"/>
      <c r="M249" s="93"/>
      <c r="N249" s="93"/>
      <c r="O249" s="93"/>
      <c r="P249" s="54">
        <v>0</v>
      </c>
      <c r="Q249" s="94">
        <f t="shared" si="3"/>
        <v>0</v>
      </c>
      <c r="R249" s="53">
        <v>0</v>
      </c>
      <c r="S249" s="133">
        <f t="shared" si="4"/>
        <v>0</v>
      </c>
      <c r="T249" s="25"/>
      <c r="U249" s="25"/>
      <c r="V249" s="5"/>
    </row>
    <row r="250" spans="1:23" x14ac:dyDescent="0.35">
      <c r="A250" s="24"/>
      <c r="B250" s="54" t="s">
        <v>165</v>
      </c>
      <c r="C250" s="93"/>
      <c r="D250" s="93"/>
      <c r="E250" s="93"/>
      <c r="F250" s="25"/>
      <c r="G250" s="94"/>
      <c r="H250" s="93"/>
      <c r="I250" s="93"/>
      <c r="J250" s="93"/>
      <c r="K250" s="93"/>
      <c r="L250" s="93"/>
      <c r="M250" s="93"/>
      <c r="N250" s="93"/>
      <c r="O250" s="93"/>
      <c r="P250" s="54">
        <v>3</v>
      </c>
      <c r="Q250" s="94">
        <f t="shared" si="3"/>
        <v>0.21428571428571427</v>
      </c>
      <c r="R250" s="53">
        <v>640</v>
      </c>
      <c r="S250" s="133">
        <f t="shared" si="4"/>
        <v>0.26970080067425201</v>
      </c>
      <c r="T250" s="25"/>
      <c r="U250" s="25"/>
      <c r="V250" s="5"/>
    </row>
    <row r="251" spans="1:23" x14ac:dyDescent="0.35">
      <c r="A251" s="24"/>
      <c r="B251" s="54" t="s">
        <v>166</v>
      </c>
      <c r="C251" s="93"/>
      <c r="D251" s="93"/>
      <c r="E251" s="93"/>
      <c r="F251" s="25"/>
      <c r="G251" s="94"/>
      <c r="H251" s="93"/>
      <c r="I251" s="93"/>
      <c r="J251" s="93"/>
      <c r="K251" s="93"/>
      <c r="L251" s="93"/>
      <c r="M251" s="93"/>
      <c r="N251" s="93"/>
      <c r="O251" s="93"/>
      <c r="P251" s="54">
        <v>6</v>
      </c>
      <c r="Q251" s="94">
        <f t="shared" si="3"/>
        <v>0.42857142857142855</v>
      </c>
      <c r="R251" s="53">
        <v>968</v>
      </c>
      <c r="S251" s="133">
        <f t="shared" si="4"/>
        <v>0.40792246101980617</v>
      </c>
      <c r="T251" s="25"/>
      <c r="U251" s="25"/>
      <c r="V251" s="5"/>
    </row>
    <row r="252" spans="1:23" x14ac:dyDescent="0.35">
      <c r="A252" s="24"/>
      <c r="B252" s="54" t="s">
        <v>167</v>
      </c>
      <c r="C252" s="93"/>
      <c r="D252" s="93"/>
      <c r="E252" s="93"/>
      <c r="F252" s="25"/>
      <c r="G252" s="94"/>
      <c r="H252" s="93"/>
      <c r="I252" s="93"/>
      <c r="J252" s="93"/>
      <c r="K252" s="93"/>
      <c r="L252" s="93"/>
      <c r="M252" s="93"/>
      <c r="N252" s="93"/>
      <c r="O252" s="93"/>
      <c r="P252" s="54">
        <v>2</v>
      </c>
      <c r="Q252" s="94">
        <f t="shared" si="3"/>
        <v>0.14285714285714285</v>
      </c>
      <c r="R252" s="53">
        <v>387</v>
      </c>
      <c r="S252" s="133">
        <f t="shared" si="4"/>
        <v>0.16308470290771176</v>
      </c>
      <c r="T252" s="25"/>
      <c r="U252" s="25"/>
      <c r="V252" s="5"/>
    </row>
    <row r="253" spans="1:23" x14ac:dyDescent="0.35">
      <c r="A253" s="24"/>
      <c r="B253" s="54" t="s">
        <v>168</v>
      </c>
      <c r="C253" s="93"/>
      <c r="D253" s="93"/>
      <c r="E253" s="93"/>
      <c r="F253" s="25"/>
      <c r="G253" s="94"/>
      <c r="H253" s="93"/>
      <c r="I253" s="93"/>
      <c r="J253" s="93"/>
      <c r="K253" s="93"/>
      <c r="L253" s="93"/>
      <c r="M253" s="93"/>
      <c r="N253" s="93"/>
      <c r="O253" s="93"/>
      <c r="P253" s="54">
        <v>3</v>
      </c>
      <c r="Q253" s="94">
        <f t="shared" si="3"/>
        <v>0.21428571428571427</v>
      </c>
      <c r="R253" s="53">
        <v>378</v>
      </c>
      <c r="S253" s="133">
        <f t="shared" si="4"/>
        <v>0.15929203539823009</v>
      </c>
      <c r="T253" s="25"/>
      <c r="U253" s="25"/>
      <c r="V253" s="5"/>
    </row>
    <row r="254" spans="1:23" x14ac:dyDescent="0.35">
      <c r="A254" s="24"/>
      <c r="B254" s="54"/>
      <c r="C254" s="93"/>
      <c r="D254" s="93"/>
      <c r="E254" s="93"/>
      <c r="F254" s="25"/>
      <c r="G254" s="94"/>
      <c r="H254" s="93"/>
      <c r="I254" s="93"/>
      <c r="J254" s="93"/>
      <c r="K254" s="93"/>
      <c r="L254" s="93"/>
      <c r="M254" s="93"/>
      <c r="N254" s="93"/>
      <c r="O254" s="93"/>
      <c r="P254" s="54"/>
      <c r="Q254" s="94"/>
      <c r="R254" s="53"/>
      <c r="S254" s="133"/>
      <c r="T254" s="25"/>
      <c r="U254" s="25"/>
      <c r="V254" s="5"/>
    </row>
    <row r="255" spans="1:23" x14ac:dyDescent="0.35">
      <c r="A255" s="24"/>
      <c r="B255" s="25"/>
      <c r="C255" s="25"/>
      <c r="D255" s="25"/>
      <c r="E255" s="25"/>
      <c r="F255" s="25"/>
      <c r="G255" s="25"/>
      <c r="H255" s="95"/>
      <c r="I255" s="95"/>
      <c r="J255" s="95"/>
      <c r="K255" s="95"/>
      <c r="L255" s="95"/>
      <c r="M255" s="95"/>
      <c r="N255" s="95"/>
      <c r="O255" s="95"/>
      <c r="P255" s="34">
        <f>SUM(P246:P254)</f>
        <v>14</v>
      </c>
      <c r="Q255" s="133">
        <f>SUM(Q246:Q254)</f>
        <v>0.99999999999999989</v>
      </c>
      <c r="R255" s="53">
        <f>SUM(R246:R254)</f>
        <v>2373</v>
      </c>
      <c r="S255" s="133">
        <f>SUM(S246:S254)</f>
        <v>1</v>
      </c>
      <c r="T255" s="25"/>
      <c r="U255" s="25"/>
      <c r="V255" s="5"/>
    </row>
    <row r="256" spans="1:23" x14ac:dyDescent="0.35">
      <c r="A256" s="24"/>
      <c r="B256" s="25"/>
      <c r="C256" s="25"/>
      <c r="D256" s="25"/>
      <c r="E256" s="25"/>
      <c r="F256" s="25"/>
      <c r="G256" s="25"/>
      <c r="H256" s="95"/>
      <c r="I256" s="95"/>
      <c r="J256" s="95"/>
      <c r="K256" s="95"/>
      <c r="L256" s="95"/>
      <c r="M256" s="95"/>
      <c r="N256" s="95"/>
      <c r="O256" s="95"/>
      <c r="P256" s="34"/>
      <c r="Q256" s="133"/>
      <c r="R256" s="53"/>
      <c r="S256" s="133"/>
      <c r="T256" s="25"/>
      <c r="U256" s="25"/>
      <c r="V256" s="5"/>
    </row>
    <row r="257" spans="1:22" x14ac:dyDescent="0.35">
      <c r="A257" s="142"/>
      <c r="B257" s="14" t="s">
        <v>173</v>
      </c>
      <c r="C257" s="140"/>
      <c r="D257" s="140"/>
      <c r="E257" s="140"/>
      <c r="F257" s="140"/>
      <c r="G257" s="140"/>
      <c r="H257" s="146"/>
      <c r="I257" s="146"/>
      <c r="J257" s="146"/>
      <c r="K257" s="146"/>
      <c r="L257" s="146"/>
      <c r="M257" s="146"/>
      <c r="N257" s="146"/>
      <c r="O257" s="146"/>
      <c r="P257" s="83" t="s">
        <v>106</v>
      </c>
      <c r="Q257" s="17" t="s">
        <v>107</v>
      </c>
      <c r="R257" s="83" t="s">
        <v>115</v>
      </c>
      <c r="S257" s="17" t="s">
        <v>107</v>
      </c>
      <c r="T257" s="140"/>
      <c r="U257" s="141"/>
      <c r="V257" s="5"/>
    </row>
    <row r="258" spans="1:22" x14ac:dyDescent="0.35">
      <c r="A258" s="24"/>
      <c r="B258" s="54" t="s">
        <v>92</v>
      </c>
      <c r="C258" s="25"/>
      <c r="D258" s="25"/>
      <c r="E258" s="25"/>
      <c r="F258" s="25"/>
      <c r="G258" s="25"/>
      <c r="H258" s="95"/>
      <c r="I258" s="95"/>
      <c r="J258" s="95"/>
      <c r="K258" s="95"/>
      <c r="L258" s="95"/>
      <c r="M258" s="95"/>
      <c r="N258" s="95"/>
      <c r="O258" s="95"/>
      <c r="P258" s="54">
        <v>0</v>
      </c>
      <c r="Q258" s="94">
        <v>0</v>
      </c>
      <c r="R258" s="53">
        <v>0</v>
      </c>
      <c r="S258" s="133">
        <v>0</v>
      </c>
      <c r="T258" s="25"/>
      <c r="U258" s="25"/>
      <c r="V258" s="5"/>
    </row>
    <row r="259" spans="1:22" x14ac:dyDescent="0.35">
      <c r="A259" s="24"/>
      <c r="B259" s="54" t="s">
        <v>93</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94</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164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165</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166</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167</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168</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c r="C266" s="25"/>
      <c r="D266" s="25"/>
      <c r="E266" s="25"/>
      <c r="F266" s="25"/>
      <c r="G266" s="25"/>
      <c r="H266" s="95"/>
      <c r="I266" s="95"/>
      <c r="J266" s="95"/>
      <c r="K266" s="95"/>
      <c r="L266" s="95"/>
      <c r="M266" s="95"/>
      <c r="N266" s="95"/>
      <c r="O266" s="95"/>
      <c r="P266" s="54"/>
      <c r="Q266" s="94"/>
      <c r="R266" s="53"/>
      <c r="S266" s="133"/>
      <c r="T266" s="25"/>
      <c r="U266" s="25"/>
      <c r="V266" s="5"/>
    </row>
    <row r="267" spans="1:22" x14ac:dyDescent="0.35">
      <c r="A267" s="24"/>
      <c r="B267" s="25" t="s">
        <v>121</v>
      </c>
      <c r="C267" s="25"/>
      <c r="D267" s="25"/>
      <c r="E267" s="25"/>
      <c r="F267" s="25"/>
      <c r="G267" s="25"/>
      <c r="H267" s="95"/>
      <c r="I267" s="95"/>
      <c r="J267" s="95"/>
      <c r="K267" s="95"/>
      <c r="L267" s="95"/>
      <c r="M267" s="95"/>
      <c r="N267" s="95"/>
      <c r="O267" s="95"/>
      <c r="P267" s="34">
        <f>SUM(P258:P265)</f>
        <v>0</v>
      </c>
      <c r="Q267" s="94">
        <f>SUM(Q258:Q265)</f>
        <v>0</v>
      </c>
      <c r="R267" s="53">
        <f>SUM(R258:R265)</f>
        <v>0</v>
      </c>
      <c r="S267" s="133">
        <f>SUM(S258:S265)</f>
        <v>0</v>
      </c>
      <c r="T267" s="25"/>
      <c r="U267" s="25"/>
      <c r="V267" s="5"/>
    </row>
    <row r="268" spans="1:22" x14ac:dyDescent="0.35">
      <c r="A268" s="24"/>
      <c r="B268" s="25"/>
      <c r="C268" s="25"/>
      <c r="D268" s="25"/>
      <c r="E268" s="25"/>
      <c r="F268" s="25"/>
      <c r="G268" s="25"/>
      <c r="H268" s="95"/>
      <c r="I268" s="95"/>
      <c r="J268" s="95"/>
      <c r="K268" s="95"/>
      <c r="L268" s="95"/>
      <c r="M268" s="95"/>
      <c r="N268" s="95"/>
      <c r="O268" s="95"/>
      <c r="P268" s="34"/>
      <c r="Q268" s="133"/>
      <c r="R268" s="53"/>
      <c r="S268" s="133"/>
      <c r="T268" s="25"/>
      <c r="U268" s="25"/>
      <c r="V268" s="5"/>
    </row>
    <row r="269" spans="1:22" x14ac:dyDescent="0.35">
      <c r="A269" s="24"/>
      <c r="B269" s="143" t="s">
        <v>174</v>
      </c>
      <c r="C269" s="25"/>
      <c r="D269" s="25"/>
      <c r="E269" s="25"/>
      <c r="F269" s="25"/>
      <c r="G269" s="25"/>
      <c r="H269" s="95"/>
      <c r="I269" s="95"/>
      <c r="J269" s="95"/>
      <c r="K269" s="95"/>
      <c r="L269" s="95"/>
      <c r="M269" s="95"/>
      <c r="N269" s="95"/>
      <c r="O269" s="95"/>
      <c r="P269" s="162">
        <f>P267+P255+P243</f>
        <v>7472</v>
      </c>
      <c r="Q269" s="144"/>
      <c r="R269" s="145">
        <f>+R267+R255+R243</f>
        <v>977386</v>
      </c>
      <c r="S269" s="144"/>
      <c r="T269" s="25"/>
      <c r="U269" s="25"/>
      <c r="V269" s="5"/>
    </row>
    <row r="270" spans="1:22" x14ac:dyDescent="0.35">
      <c r="A270" s="24"/>
      <c r="B270" s="25"/>
      <c r="C270" s="25"/>
      <c r="D270" s="25"/>
      <c r="E270" s="25"/>
      <c r="F270" s="25"/>
      <c r="G270" s="25"/>
      <c r="H270" s="95"/>
      <c r="I270" s="95"/>
      <c r="J270" s="95"/>
      <c r="K270" s="95"/>
      <c r="L270" s="95"/>
      <c r="M270" s="95"/>
      <c r="N270" s="95"/>
      <c r="O270" s="95"/>
      <c r="P270" s="95"/>
      <c r="Q270" s="95"/>
      <c r="R270" s="53"/>
      <c r="S270" s="95"/>
      <c r="T270" s="25"/>
      <c r="U270" s="25"/>
      <c r="V270" s="5"/>
    </row>
    <row r="271" spans="1:22" x14ac:dyDescent="0.35">
      <c r="A271" s="6"/>
      <c r="B271" s="8"/>
      <c r="C271" s="8"/>
      <c r="D271" s="8"/>
      <c r="E271" s="8"/>
      <c r="F271" s="8"/>
      <c r="G271" s="8"/>
      <c r="H271" s="96"/>
      <c r="I271" s="96"/>
      <c r="J271" s="96"/>
      <c r="K271" s="96"/>
      <c r="L271" s="96"/>
      <c r="M271" s="96"/>
      <c r="N271" s="96"/>
      <c r="O271" s="96"/>
      <c r="P271" s="96"/>
      <c r="Q271" s="96"/>
      <c r="R271" s="97"/>
      <c r="S271" s="96"/>
      <c r="T271" s="8"/>
      <c r="U271" s="8"/>
      <c r="V271" s="5"/>
    </row>
    <row r="272" spans="1:22" x14ac:dyDescent="0.35">
      <c r="A272" s="168"/>
      <c r="B272" s="14" t="s">
        <v>95</v>
      </c>
      <c r="C272" s="15"/>
      <c r="D272" s="15"/>
      <c r="E272" s="15"/>
      <c r="F272" s="17" t="s">
        <v>101</v>
      </c>
      <c r="G272" s="15"/>
      <c r="H272" s="14" t="s">
        <v>103</v>
      </c>
      <c r="I272" s="163"/>
      <c r="J272" s="163"/>
      <c r="K272" s="163"/>
      <c r="L272" s="163"/>
      <c r="M272" s="163"/>
      <c r="N272" s="163"/>
      <c r="O272" s="163"/>
      <c r="P272" s="163"/>
      <c r="Q272" s="163"/>
      <c r="R272" s="163"/>
      <c r="S272" s="163"/>
      <c r="T272" s="163"/>
      <c r="U272" s="163"/>
      <c r="V272" s="5"/>
    </row>
    <row r="273" spans="1:22" x14ac:dyDescent="0.35">
      <c r="A273" s="168"/>
      <c r="B273" s="13" t="s">
        <v>96</v>
      </c>
      <c r="C273" s="13"/>
      <c r="D273" s="13"/>
      <c r="E273" s="13"/>
      <c r="F273" s="131" t="s">
        <v>155</v>
      </c>
      <c r="G273" s="13"/>
      <c r="H273" s="13" t="s">
        <v>160</v>
      </c>
      <c r="I273" s="163"/>
      <c r="J273" s="163"/>
      <c r="K273" s="163"/>
      <c r="L273" s="163"/>
      <c r="M273" s="163"/>
      <c r="N273" s="163"/>
      <c r="O273" s="163"/>
      <c r="P273" s="163"/>
      <c r="Q273" s="163"/>
      <c r="R273" s="163"/>
      <c r="S273" s="163"/>
      <c r="T273" s="163"/>
      <c r="U273" s="163"/>
      <c r="V273" s="5"/>
    </row>
    <row r="274" spans="1:22" x14ac:dyDescent="0.35">
      <c r="A274" s="168"/>
      <c r="B274" s="13" t="s">
        <v>277</v>
      </c>
      <c r="C274" s="13"/>
      <c r="D274" s="13"/>
      <c r="E274" s="13"/>
      <c r="F274" s="131" t="s">
        <v>278</v>
      </c>
      <c r="G274" s="13"/>
      <c r="H274" s="13" t="s">
        <v>279</v>
      </c>
      <c r="I274" s="163"/>
      <c r="J274" s="163"/>
      <c r="K274" s="163"/>
      <c r="L274" s="163"/>
      <c r="M274" s="163"/>
      <c r="N274" s="163"/>
      <c r="O274" s="163"/>
      <c r="P274" s="163"/>
      <c r="Q274" s="163"/>
      <c r="R274" s="163"/>
      <c r="S274" s="163"/>
      <c r="T274" s="163"/>
      <c r="U274" s="163"/>
      <c r="V274" s="5"/>
    </row>
    <row r="275" spans="1:22" x14ac:dyDescent="0.35">
      <c r="A275" s="168"/>
      <c r="B275" s="13" t="s">
        <v>97</v>
      </c>
      <c r="C275" s="13"/>
      <c r="D275" s="13"/>
      <c r="E275" s="13"/>
      <c r="F275" s="131" t="s">
        <v>154</v>
      </c>
      <c r="G275" s="13"/>
      <c r="H275" s="13" t="s">
        <v>161</v>
      </c>
      <c r="I275" s="163"/>
      <c r="J275" s="163"/>
      <c r="K275" s="163"/>
      <c r="L275" s="163"/>
      <c r="M275" s="163"/>
      <c r="N275" s="163"/>
      <c r="O275" s="163"/>
      <c r="P275" s="163"/>
      <c r="Q275" s="163"/>
      <c r="R275" s="163"/>
      <c r="S275" s="163"/>
      <c r="T275" s="163"/>
      <c r="U275" s="163"/>
      <c r="V275" s="5"/>
    </row>
    <row r="276" spans="1:22" x14ac:dyDescent="0.35">
      <c r="A276" s="168"/>
      <c r="B276" s="13"/>
      <c r="C276" s="13"/>
      <c r="D276" s="13"/>
      <c r="E276" s="13"/>
      <c r="F276" s="13"/>
      <c r="G276" s="99"/>
      <c r="H276" s="163"/>
      <c r="I276" s="163"/>
      <c r="J276" s="163"/>
      <c r="K276" s="163"/>
      <c r="L276" s="163"/>
      <c r="M276" s="163"/>
      <c r="N276" s="163"/>
      <c r="O276" s="163"/>
      <c r="P276" s="163"/>
      <c r="Q276" s="163"/>
      <c r="R276" s="163"/>
      <c r="S276" s="163"/>
      <c r="T276" s="163"/>
      <c r="U276" s="163"/>
      <c r="V276" s="5"/>
    </row>
    <row r="277" spans="1:22" x14ac:dyDescent="0.35">
      <c r="A277" s="168"/>
      <c r="B277" s="13"/>
      <c r="C277" s="13"/>
      <c r="D277" s="13"/>
      <c r="E277" s="13"/>
      <c r="F277" s="13"/>
      <c r="G277" s="99"/>
      <c r="H277" s="163"/>
      <c r="I277" s="163"/>
      <c r="J277" s="163"/>
      <c r="K277" s="163"/>
      <c r="L277" s="163"/>
      <c r="M277" s="163"/>
      <c r="N277" s="163"/>
      <c r="O277" s="163"/>
      <c r="P277" s="163"/>
      <c r="Q277" s="163"/>
      <c r="R277" s="163"/>
      <c r="S277" s="163"/>
      <c r="T277" s="163"/>
      <c r="U277" s="163"/>
      <c r="V277" s="5"/>
    </row>
    <row r="278" spans="1:22" ht="18" thickBot="1" x14ac:dyDescent="0.4">
      <c r="A278" s="168"/>
      <c r="B278" s="49" t="str">
        <f>B194</f>
        <v>PM10 INVESTOR REPORT QUARTER ENDING MAY 2006</v>
      </c>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00"/>
      <c r="B279" s="100"/>
      <c r="C279" s="100"/>
      <c r="D279" s="100"/>
      <c r="E279" s="100"/>
      <c r="F279" s="100"/>
      <c r="G279" s="100"/>
      <c r="H279" s="100"/>
      <c r="I279" s="100"/>
      <c r="J279" s="100"/>
      <c r="K279" s="100"/>
      <c r="L279" s="100"/>
      <c r="M279" s="100"/>
      <c r="N279" s="100"/>
      <c r="O279" s="100"/>
      <c r="P279" s="100"/>
      <c r="Q279" s="100"/>
      <c r="R279" s="100"/>
      <c r="S279" s="100"/>
      <c r="T279" s="100"/>
      <c r="U279" s="100"/>
    </row>
  </sheetData>
  <phoneticPr fontId="0" type="noConversion"/>
  <hyperlinks>
    <hyperlink ref="J9" r:id="rId1" xr:uid="{00000000-0004-0000-0100-000000000000}"/>
    <hyperlink ref="N231" r:id="rId2" xr:uid="{00000000-0004-0000-0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4" max="14" man="1"/>
    <brk id="194"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89CB31"/>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0.65610000000000002</v>
      </c>
      <c r="R16" s="222" t="s">
        <v>147</v>
      </c>
      <c r="S16" s="221">
        <v>0.34389999999999998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40529</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5"/>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84" t="s">
        <v>223</v>
      </c>
      <c r="C25" s="285"/>
      <c r="D25" s="280" t="s">
        <v>258</v>
      </c>
      <c r="E25" s="280"/>
      <c r="F25" s="280" t="s">
        <v>150</v>
      </c>
      <c r="G25" s="280"/>
      <c r="H25" s="280" t="s">
        <v>150</v>
      </c>
      <c r="I25" s="280"/>
      <c r="J25" s="280" t="s">
        <v>175</v>
      </c>
      <c r="K25" s="280"/>
      <c r="L25" s="280" t="s">
        <v>175</v>
      </c>
      <c r="M25" s="280"/>
      <c r="N25" s="280" t="s">
        <v>151</v>
      </c>
      <c r="O25" s="280"/>
      <c r="P25" s="280" t="s">
        <v>151</v>
      </c>
      <c r="Q25" s="285"/>
      <c r="R25" s="280"/>
      <c r="S25" s="281"/>
      <c r="T25" s="281"/>
      <c r="U25" s="282"/>
      <c r="V25" s="5"/>
    </row>
    <row r="26" spans="1:22" x14ac:dyDescent="0.35">
      <c r="A26" s="283"/>
      <c r="B26" s="286" t="s">
        <v>9</v>
      </c>
      <c r="C26" s="285"/>
      <c r="D26" s="285" t="s">
        <v>256</v>
      </c>
      <c r="E26" s="285"/>
      <c r="F26" s="285" t="s">
        <v>148</v>
      </c>
      <c r="G26" s="285"/>
      <c r="H26" s="285" t="s">
        <v>148</v>
      </c>
      <c r="I26" s="285"/>
      <c r="J26" s="285" t="s">
        <v>198</v>
      </c>
      <c r="K26" s="285"/>
      <c r="L26" s="285" t="s">
        <v>198</v>
      </c>
      <c r="M26" s="285"/>
      <c r="N26" s="285" t="s">
        <v>149</v>
      </c>
      <c r="O26" s="285"/>
      <c r="P26" s="285" t="s">
        <v>149</v>
      </c>
      <c r="Q26" s="285"/>
      <c r="R26" s="280"/>
      <c r="S26" s="281"/>
      <c r="T26" s="281"/>
      <c r="U26" s="282"/>
      <c r="V26" s="5"/>
    </row>
    <row r="27" spans="1:22" x14ac:dyDescent="0.35">
      <c r="A27" s="278"/>
      <c r="B27" s="286" t="s">
        <v>224</v>
      </c>
      <c r="C27" s="280"/>
      <c r="D27" s="285" t="s">
        <v>257</v>
      </c>
      <c r="E27" s="285"/>
      <c r="F27" s="285" t="s">
        <v>150</v>
      </c>
      <c r="G27" s="285"/>
      <c r="H27" s="285" t="s">
        <v>150</v>
      </c>
      <c r="I27" s="285"/>
      <c r="J27" s="285" t="s">
        <v>175</v>
      </c>
      <c r="K27" s="285"/>
      <c r="L27" s="285" t="s">
        <v>175</v>
      </c>
      <c r="M27" s="285"/>
      <c r="N27" s="285" t="s">
        <v>151</v>
      </c>
      <c r="O27" s="285"/>
      <c r="P27" s="285" t="s">
        <v>151</v>
      </c>
      <c r="Q27" s="280"/>
      <c r="R27" s="287"/>
      <c r="S27" s="281"/>
      <c r="T27" s="281"/>
      <c r="U27" s="282"/>
      <c r="V27" s="5"/>
    </row>
    <row r="28" spans="1:22" x14ac:dyDescent="0.35">
      <c r="A28" s="278"/>
      <c r="B28" s="288" t="s">
        <v>225</v>
      </c>
      <c r="C28" s="280"/>
      <c r="D28" s="285" t="s">
        <v>258</v>
      </c>
      <c r="E28" s="285"/>
      <c r="F28" s="285" t="s">
        <v>150</v>
      </c>
      <c r="G28" s="285"/>
      <c r="H28" s="285" t="s">
        <v>150</v>
      </c>
      <c r="I28" s="285"/>
      <c r="J28" s="285" t="s">
        <v>150</v>
      </c>
      <c r="K28" s="285"/>
      <c r="L28" s="285" t="s">
        <v>150</v>
      </c>
      <c r="M28" s="285"/>
      <c r="N28" s="285" t="s">
        <v>151</v>
      </c>
      <c r="O28" s="285"/>
      <c r="P28" s="285"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204194.76</v>
      </c>
      <c r="E32" s="289"/>
      <c r="F32" s="290">
        <v>105000</v>
      </c>
      <c r="G32" s="290"/>
      <c r="H32" s="295">
        <v>222000</v>
      </c>
      <c r="I32" s="290"/>
      <c r="J32" s="290">
        <v>31000</v>
      </c>
      <c r="K32" s="290"/>
      <c r="L32" s="295">
        <v>19500</v>
      </c>
      <c r="M32" s="290"/>
      <c r="N32" s="296">
        <v>51500</v>
      </c>
      <c r="O32" s="290"/>
      <c r="P32" s="295">
        <v>27500</v>
      </c>
      <c r="Q32" s="290"/>
      <c r="R32" s="290"/>
      <c r="S32" s="291"/>
      <c r="T32" s="290"/>
      <c r="U32" s="292"/>
      <c r="V32" s="5"/>
    </row>
    <row r="33" spans="1:22" x14ac:dyDescent="0.35">
      <c r="A33" s="278"/>
      <c r="B33" s="286" t="s">
        <v>141</v>
      </c>
      <c r="C33" s="289"/>
      <c r="D33" s="299">
        <f>D37*D31</f>
        <v>197405.22999999998</v>
      </c>
      <c r="E33" s="293"/>
      <c r="F33" s="297">
        <f>F37*F31</f>
        <v>105000</v>
      </c>
      <c r="G33" s="297"/>
      <c r="H33" s="300">
        <f>H31*H37</f>
        <v>222000</v>
      </c>
      <c r="I33" s="297"/>
      <c r="J33" s="297">
        <f>J31*J37</f>
        <v>31000</v>
      </c>
      <c r="K33" s="297"/>
      <c r="L33" s="300">
        <f>L31*L37</f>
        <v>19500</v>
      </c>
      <c r="M33" s="297"/>
      <c r="N33" s="297">
        <f>N31*N37</f>
        <v>51500</v>
      </c>
      <c r="O33" s="297"/>
      <c r="P33" s="300">
        <f>P31*P37</f>
        <v>27500</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301">
        <f>SUM(C34:P34)</f>
        <v>1000353</v>
      </c>
      <c r="U34" s="292"/>
      <c r="V34" s="5"/>
    </row>
    <row r="35" spans="1:22" x14ac:dyDescent="0.35">
      <c r="A35" s="283"/>
      <c r="B35" s="279" t="s">
        <v>297</v>
      </c>
      <c r="C35" s="302"/>
      <c r="D35" s="290">
        <f>D34*D38</f>
        <v>117151.3602336</v>
      </c>
      <c r="E35" s="289"/>
      <c r="F35" s="290">
        <f>+F36</f>
        <v>105000</v>
      </c>
      <c r="G35" s="290"/>
      <c r="H35" s="290">
        <f>+H36</f>
        <v>150000</v>
      </c>
      <c r="I35" s="290"/>
      <c r="J35" s="290">
        <f>+J36</f>
        <v>31000</v>
      </c>
      <c r="K35" s="290"/>
      <c r="L35" s="290">
        <f>+L36</f>
        <v>13176</v>
      </c>
      <c r="M35" s="290"/>
      <c r="N35" s="290">
        <f>+N36</f>
        <v>51500</v>
      </c>
      <c r="O35" s="290"/>
      <c r="P35" s="290">
        <f>+P36</f>
        <v>18581</v>
      </c>
      <c r="Q35" s="290"/>
      <c r="R35" s="290"/>
      <c r="S35" s="291"/>
      <c r="T35" s="301">
        <f>SUM(C35:P35)</f>
        <v>486408.36023360002</v>
      </c>
      <c r="U35" s="292"/>
      <c r="V35" s="5"/>
    </row>
    <row r="36" spans="1:22" x14ac:dyDescent="0.35">
      <c r="A36" s="283"/>
      <c r="B36" s="286" t="s">
        <v>298</v>
      </c>
      <c r="C36" s="302"/>
      <c r="D36" s="297">
        <f>D37*D34</f>
        <v>113256.0463928</v>
      </c>
      <c r="E36" s="293"/>
      <c r="F36" s="297">
        <f>F37*F34</f>
        <v>105000</v>
      </c>
      <c r="G36" s="297"/>
      <c r="H36" s="297">
        <f>+H34*H37</f>
        <v>150000</v>
      </c>
      <c r="I36" s="297"/>
      <c r="J36" s="297">
        <f>+J34*J37</f>
        <v>31000</v>
      </c>
      <c r="K36" s="297"/>
      <c r="L36" s="297">
        <f>+L34*L37</f>
        <v>13176</v>
      </c>
      <c r="M36" s="297"/>
      <c r="N36" s="297">
        <f>+N34*N37</f>
        <v>51500</v>
      </c>
      <c r="O36" s="297"/>
      <c r="P36" s="297">
        <f>+P34*P37</f>
        <v>18581</v>
      </c>
      <c r="Q36" s="303"/>
      <c r="R36" s="303"/>
      <c r="S36" s="291"/>
      <c r="T36" s="304">
        <f>SUM(C36:P36)</f>
        <v>482513.0463928</v>
      </c>
      <c r="U36" s="292"/>
      <c r="V36" s="5"/>
    </row>
    <row r="37" spans="1:22" x14ac:dyDescent="0.35">
      <c r="A37" s="305"/>
      <c r="B37" s="306" t="s">
        <v>137</v>
      </c>
      <c r="C37" s="307"/>
      <c r="D37" s="308">
        <v>0.17945929999999999</v>
      </c>
      <c r="E37" s="309"/>
      <c r="F37" s="308">
        <v>1</v>
      </c>
      <c r="G37" s="308"/>
      <c r="H37" s="308">
        <v>1</v>
      </c>
      <c r="I37" s="308"/>
      <c r="J37" s="308">
        <v>1</v>
      </c>
      <c r="K37" s="308"/>
      <c r="L37" s="308">
        <v>1</v>
      </c>
      <c r="M37" s="308"/>
      <c r="N37" s="308">
        <v>1</v>
      </c>
      <c r="O37" s="308"/>
      <c r="P37" s="308">
        <v>1</v>
      </c>
      <c r="Q37" s="310"/>
      <c r="R37" s="310"/>
      <c r="S37" s="311"/>
      <c r="T37" s="311"/>
      <c r="U37" s="312"/>
      <c r="V37" s="5"/>
    </row>
    <row r="38" spans="1:22" x14ac:dyDescent="0.35">
      <c r="A38" s="305"/>
      <c r="B38" s="306" t="s">
        <v>138</v>
      </c>
      <c r="C38" s="307"/>
      <c r="D38" s="308">
        <v>0.18563160000000001</v>
      </c>
      <c r="E38" s="309"/>
      <c r="F38" s="308">
        <v>1</v>
      </c>
      <c r="G38" s="308"/>
      <c r="H38" s="308">
        <v>1</v>
      </c>
      <c r="I38" s="308"/>
      <c r="J38" s="308">
        <v>1</v>
      </c>
      <c r="K38" s="308"/>
      <c r="L38" s="308">
        <v>1</v>
      </c>
      <c r="M38" s="308"/>
      <c r="N38" s="308">
        <v>1</v>
      </c>
      <c r="O38" s="308"/>
      <c r="P38" s="308">
        <v>1</v>
      </c>
      <c r="Q38" s="313"/>
      <c r="R38" s="314"/>
      <c r="S38" s="311"/>
      <c r="T38" s="313"/>
      <c r="U38" s="312"/>
      <c r="V38" s="5"/>
    </row>
    <row r="39" spans="1:22" x14ac:dyDescent="0.35">
      <c r="A39" s="278"/>
      <c r="B39" s="279" t="s">
        <v>11</v>
      </c>
      <c r="C39" s="279"/>
      <c r="D39" s="287" t="s">
        <v>283</v>
      </c>
      <c r="E39" s="279"/>
      <c r="F39" s="287" t="s">
        <v>207</v>
      </c>
      <c r="G39" s="287"/>
      <c r="H39" s="287" t="s">
        <v>207</v>
      </c>
      <c r="I39" s="287"/>
      <c r="J39" s="287" t="s">
        <v>208</v>
      </c>
      <c r="K39" s="287"/>
      <c r="L39" s="287" t="s">
        <v>208</v>
      </c>
      <c r="M39" s="287"/>
      <c r="N39" s="287" t="s">
        <v>209</v>
      </c>
      <c r="O39" s="287"/>
      <c r="P39" s="287" t="s">
        <v>209</v>
      </c>
      <c r="Q39" s="315"/>
      <c r="R39" s="316"/>
      <c r="S39" s="281"/>
      <c r="T39" s="281"/>
      <c r="U39" s="282"/>
      <c r="V39" s="5"/>
    </row>
    <row r="40" spans="1:22" x14ac:dyDescent="0.35">
      <c r="A40" s="278"/>
      <c r="B40" s="279" t="s">
        <v>12</v>
      </c>
      <c r="C40" s="279"/>
      <c r="D40" s="316">
        <v>3.4344000000000002E-3</v>
      </c>
      <c r="E40" s="279"/>
      <c r="F40" s="316">
        <v>8.8468999999999996E-3</v>
      </c>
      <c r="G40" s="315"/>
      <c r="H40" s="316">
        <v>1.039E-2</v>
      </c>
      <c r="I40" s="315"/>
      <c r="J40" s="316">
        <v>9.9468999999999998E-3</v>
      </c>
      <c r="K40" s="315"/>
      <c r="L40" s="316">
        <v>1.149E-2</v>
      </c>
      <c r="M40" s="315"/>
      <c r="N40" s="316">
        <v>1.27469E-2</v>
      </c>
      <c r="O40" s="315"/>
      <c r="P40" s="316">
        <v>1.4290000000000001E-2</v>
      </c>
      <c r="Q40" s="315"/>
      <c r="R40" s="316"/>
      <c r="S40" s="281"/>
      <c r="T40" s="287"/>
      <c r="U40" s="282"/>
      <c r="V40" s="5"/>
    </row>
    <row r="41" spans="1:22" x14ac:dyDescent="0.35">
      <c r="A41" s="278"/>
      <c r="B41" s="279" t="s">
        <v>13</v>
      </c>
      <c r="C41" s="279"/>
      <c r="D41" s="316">
        <v>3.6594000000000002E-3</v>
      </c>
      <c r="E41" s="279"/>
      <c r="F41" s="316">
        <v>8.8999999999999999E-3</v>
      </c>
      <c r="G41" s="315"/>
      <c r="H41" s="316">
        <v>8.7899999999999992E-3</v>
      </c>
      <c r="I41" s="315"/>
      <c r="J41" s="316">
        <v>0.01</v>
      </c>
      <c r="K41" s="315"/>
      <c r="L41" s="316">
        <v>9.8899999999999995E-3</v>
      </c>
      <c r="M41" s="315"/>
      <c r="N41" s="316">
        <v>1.2800000000000001E-2</v>
      </c>
      <c r="O41" s="315"/>
      <c r="P41" s="316">
        <v>1.269E-2</v>
      </c>
      <c r="Q41" s="315"/>
      <c r="R41" s="316"/>
      <c r="S41" s="281"/>
      <c r="T41" s="315" t="s">
        <v>226</v>
      </c>
      <c r="U41" s="282"/>
      <c r="V41" s="5"/>
    </row>
    <row r="42" spans="1:22" x14ac:dyDescent="0.35">
      <c r="A42" s="278"/>
      <c r="B42" s="279" t="s">
        <v>299</v>
      </c>
      <c r="C42" s="279"/>
      <c r="D42" s="287" t="s">
        <v>284</v>
      </c>
      <c r="E42" s="279"/>
      <c r="F42" s="287" t="s">
        <v>207</v>
      </c>
      <c r="G42" s="287"/>
      <c r="H42" s="287" t="s">
        <v>280</v>
      </c>
      <c r="I42" s="287"/>
      <c r="J42" s="287" t="s">
        <v>208</v>
      </c>
      <c r="K42" s="287"/>
      <c r="L42" s="287" t="s">
        <v>281</v>
      </c>
      <c r="M42" s="287"/>
      <c r="N42" s="287" t="s">
        <v>209</v>
      </c>
      <c r="O42" s="287"/>
      <c r="P42" s="287" t="s">
        <v>236</v>
      </c>
      <c r="Q42" s="315"/>
      <c r="R42" s="316"/>
      <c r="S42" s="281"/>
      <c r="T42" s="281"/>
      <c r="U42" s="282"/>
      <c r="V42" s="5"/>
    </row>
    <row r="43" spans="1:22" x14ac:dyDescent="0.35">
      <c r="A43" s="278"/>
      <c r="B43" s="279" t="s">
        <v>300</v>
      </c>
      <c r="C43" s="317"/>
      <c r="D43" s="316">
        <v>8.4025000000000002E-3</v>
      </c>
      <c r="E43" s="279"/>
      <c r="F43" s="316">
        <f>+F40</f>
        <v>8.8468999999999996E-3</v>
      </c>
      <c r="G43" s="315"/>
      <c r="H43" s="316">
        <v>9.0719000000000008E-3</v>
      </c>
      <c r="I43" s="315"/>
      <c r="J43" s="316">
        <f>+J40</f>
        <v>9.9468999999999998E-3</v>
      </c>
      <c r="K43" s="315"/>
      <c r="L43" s="316">
        <v>1.0311900000000001E-2</v>
      </c>
      <c r="M43" s="315"/>
      <c r="N43" s="316">
        <f>+N40</f>
        <v>1.27469E-2</v>
      </c>
      <c r="O43" s="315"/>
      <c r="P43" s="316">
        <v>1.3361899999999999E-2</v>
      </c>
      <c r="Q43" s="287"/>
      <c r="R43" s="287"/>
      <c r="S43" s="281"/>
      <c r="T43" s="315">
        <f>SUMPRODUCT(D43:P43,D35:P35)/T35</f>
        <v>9.5044421326199793E-3</v>
      </c>
      <c r="U43" s="282"/>
      <c r="V43" s="5"/>
    </row>
    <row r="44" spans="1:22" x14ac:dyDescent="0.35">
      <c r="A44" s="278"/>
      <c r="B44" s="279" t="s">
        <v>301</v>
      </c>
      <c r="C44" s="317"/>
      <c r="D44" s="316">
        <v>8.4556000000000006E-3</v>
      </c>
      <c r="E44" s="279"/>
      <c r="F44" s="316">
        <f>+F41</f>
        <v>8.8999999999999999E-3</v>
      </c>
      <c r="G44" s="315"/>
      <c r="H44" s="316">
        <v>9.1249999999999994E-3</v>
      </c>
      <c r="I44" s="315"/>
      <c r="J44" s="316">
        <f>+J41</f>
        <v>0.01</v>
      </c>
      <c r="K44" s="315"/>
      <c r="L44" s="316">
        <v>1.0364999999999999E-2</v>
      </c>
      <c r="M44" s="315"/>
      <c r="N44" s="316">
        <f>+N41</f>
        <v>1.2800000000000001E-2</v>
      </c>
      <c r="O44" s="315"/>
      <c r="P44" s="316">
        <v>1.3415E-2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318"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0.31026510255347678</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40527</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40344</v>
      </c>
      <c r="S57" s="328"/>
      <c r="T57" s="327">
        <v>40435</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40436</v>
      </c>
      <c r="S58" s="328"/>
      <c r="T58" s="327">
        <v>40526</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40513</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308</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260"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486408</v>
      </c>
      <c r="M68" s="332"/>
      <c r="N68" s="332">
        <f>3895+171+72</f>
        <v>4138</v>
      </c>
      <c r="O68" s="332"/>
      <c r="P68" s="332">
        <f>171+72</f>
        <v>243</v>
      </c>
      <c r="Q68" s="332"/>
      <c r="R68" s="332">
        <v>0</v>
      </c>
      <c r="S68" s="332"/>
      <c r="T68" s="333">
        <f>+L68-N68+P68-R68</f>
        <v>482513</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486408</v>
      </c>
      <c r="M71" s="332"/>
      <c r="N71" s="332">
        <f>SUM(N68:N70)</f>
        <v>4138</v>
      </c>
      <c r="O71" s="332"/>
      <c r="P71" s="332">
        <f>SUM(P68:P70)</f>
        <v>243</v>
      </c>
      <c r="Q71" s="332"/>
      <c r="R71" s="332">
        <f>SUM(R68:R70)</f>
        <v>0</v>
      </c>
      <c r="S71" s="332"/>
      <c r="T71" s="332">
        <f>SUM(T68:T70)</f>
        <v>482513</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486408</v>
      </c>
      <c r="M84" s="332"/>
      <c r="N84" s="332"/>
      <c r="O84" s="332"/>
      <c r="P84" s="332"/>
      <c r="Q84" s="332"/>
      <c r="R84" s="332"/>
      <c r="S84" s="332"/>
      <c r="T84" s="332">
        <f>SUM(T71:T83)</f>
        <v>482513</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260" t="s">
        <v>27</v>
      </c>
      <c r="C87" s="260"/>
      <c r="D87" s="260"/>
      <c r="E87" s="260"/>
      <c r="F87" s="260"/>
      <c r="G87" s="260"/>
      <c r="H87" s="261"/>
      <c r="I87" s="261"/>
      <c r="J87" s="262" t="s">
        <v>99</v>
      </c>
      <c r="K87" s="261"/>
      <c r="L87" s="263">
        <f>+R197</f>
        <v>40512</v>
      </c>
      <c r="M87" s="261"/>
      <c r="N87" s="261"/>
      <c r="O87" s="261"/>
      <c r="P87" s="261"/>
      <c r="Q87" s="261"/>
      <c r="R87" s="261" t="s">
        <v>112</v>
      </c>
      <c r="S87" s="261"/>
      <c r="T87" s="261"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4138-33</f>
        <v>4105</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2739+1355-573-219+56</f>
        <v>3358</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32+10</f>
        <v>42</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38</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0</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4105</v>
      </c>
      <c r="S96" s="279"/>
      <c r="T96" s="332">
        <f>SUM(T88:T95)</f>
        <v>3438</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-24</v>
      </c>
      <c r="S97" s="279"/>
      <c r="T97" s="332">
        <v>24</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8</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4081</v>
      </c>
      <c r="S100" s="279"/>
      <c r="T100" s="332">
        <f>T96+T98+T97+T99</f>
        <v>3470</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-184-208-6</f>
        <v>-398</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f>-527-18</f>
        <v>-545</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-816+232</f>
        <v>-584</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-232</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-34</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-76</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-62</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-164</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-13</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33</v>
      </c>
      <c r="S114" s="279"/>
      <c r="T114" s="333">
        <v>-33</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-184</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-1142</v>
      </c>
      <c r="U119" s="282"/>
      <c r="V119" s="5"/>
    </row>
    <row r="120" spans="1:22" x14ac:dyDescent="0.35">
      <c r="A120" s="278"/>
      <c r="B120" s="340"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-23</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-196</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-3895</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0</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0</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0</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-4114</v>
      </c>
      <c r="S131" s="332"/>
      <c r="T131" s="332">
        <f>SUM(T101:T129)</f>
        <v>-3470</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NOVEMBER 2010</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267"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33</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33</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-33</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482513</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482513</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+'August 10'!Q182</f>
        <v>42646</v>
      </c>
      <c r="R180" s="333">
        <f>+'August 10'!R182</f>
        <v>5971</v>
      </c>
      <c r="S180" s="279"/>
      <c r="T180" s="333">
        <f>Q180+R180</f>
        <v>48617</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f>171+25</f>
        <v>196</v>
      </c>
      <c r="R181" s="332">
        <v>0</v>
      </c>
      <c r="S181" s="279"/>
      <c r="T181" s="333">
        <f>Q181+R181</f>
        <v>196</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42842</v>
      </c>
      <c r="R182" s="333">
        <f>R181+R180</f>
        <v>5971</v>
      </c>
      <c r="S182" s="279"/>
      <c r="T182" s="333">
        <f>Q182+R182</f>
        <v>48813</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111243.48000000001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3.0931372549019609</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1.52</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15.527272727272727</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7.48</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7.0707964601769913</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3.82</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NOVEMBER 2010</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267" t="s">
        <v>72</v>
      </c>
      <c r="C197" s="268"/>
      <c r="D197" s="268"/>
      <c r="E197" s="268"/>
      <c r="F197" s="268"/>
      <c r="G197" s="269"/>
      <c r="H197" s="269"/>
      <c r="I197" s="269"/>
      <c r="J197" s="269"/>
      <c r="K197" s="269"/>
      <c r="L197" s="269"/>
      <c r="M197" s="269"/>
      <c r="N197" s="269"/>
      <c r="O197" s="269"/>
      <c r="P197" s="269"/>
      <c r="Q197" s="269"/>
      <c r="R197" s="269">
        <v>40512</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2.5680000000000001E-2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9.5044421326199793E-3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1.6175557867380022E-2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7.1339287182776599E-3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16.66</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8.5072613937270773E-3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0.1434</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260" t="s">
        <v>81</v>
      </c>
      <c r="C214" s="261"/>
      <c r="D214" s="261"/>
      <c r="E214" s="261"/>
      <c r="F214" s="271"/>
      <c r="G214" s="261"/>
      <c r="H214" s="261"/>
      <c r="I214" s="261"/>
      <c r="J214" s="261"/>
      <c r="K214" s="261"/>
      <c r="L214" s="261"/>
      <c r="M214" s="261"/>
      <c r="N214" s="261"/>
      <c r="O214" s="261"/>
      <c r="P214" s="261"/>
      <c r="Q214" s="261" t="s">
        <v>106</v>
      </c>
      <c r="R214" s="271"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1</v>
      </c>
      <c r="R215" s="241">
        <v>91</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95</v>
      </c>
      <c r="R216" s="358">
        <f>+R268</f>
        <v>15054</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84" t="s">
        <v>87</v>
      </c>
      <c r="C221" s="366"/>
      <c r="D221" s="366"/>
      <c r="E221" s="366"/>
      <c r="F221" s="366"/>
      <c r="G221" s="307"/>
      <c r="H221" s="307"/>
      <c r="I221" s="307"/>
      <c r="J221" s="307"/>
      <c r="K221" s="307"/>
      <c r="L221" s="307"/>
      <c r="M221" s="307"/>
      <c r="N221" s="307"/>
      <c r="O221" s="307"/>
      <c r="P221" s="307"/>
      <c r="Q221" s="287"/>
      <c r="R221" s="358">
        <f>+T165</f>
        <v>33</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'August 10'!R222+R221</f>
        <v>4526</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2</v>
      </c>
      <c r="R228" s="358">
        <v>304</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3.41</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260" t="s">
        <v>307</v>
      </c>
      <c r="C234" s="261"/>
      <c r="D234" s="261"/>
      <c r="E234" s="261"/>
      <c r="F234" s="271"/>
      <c r="G234" s="261"/>
      <c r="H234" s="261"/>
      <c r="I234" s="261"/>
      <c r="J234" s="261"/>
      <c r="K234" s="261"/>
      <c r="L234" s="261"/>
      <c r="M234" s="261"/>
      <c r="N234" s="261"/>
      <c r="O234" s="261"/>
      <c r="P234" s="271" t="s">
        <v>106</v>
      </c>
      <c r="Q234" s="261" t="s">
        <v>107</v>
      </c>
      <c r="R234" s="271" t="s">
        <v>115</v>
      </c>
      <c r="S234" s="261" t="s">
        <v>107</v>
      </c>
      <c r="T234" s="253"/>
      <c r="U234" s="260"/>
      <c r="V234" s="5"/>
    </row>
    <row r="235" spans="1:23" x14ac:dyDescent="0.35">
      <c r="A235" s="190"/>
      <c r="B235" s="227" t="s">
        <v>92</v>
      </c>
      <c r="C235" s="243"/>
      <c r="D235" s="243"/>
      <c r="E235" s="243"/>
      <c r="F235" s="224"/>
      <c r="G235" s="243"/>
      <c r="H235" s="243"/>
      <c r="I235" s="243"/>
      <c r="J235" s="243"/>
      <c r="K235" s="243"/>
      <c r="L235" s="243"/>
      <c r="M235" s="243"/>
      <c r="N235" s="243"/>
      <c r="O235" s="243"/>
      <c r="P235" s="227">
        <f>+P247+P259+P271</f>
        <v>3502</v>
      </c>
      <c r="Q235" s="378">
        <f t="shared" ref="Q235:Q242" si="1">P235/$P$244</f>
        <v>0.97985450475657532</v>
      </c>
      <c r="R235" s="237">
        <f t="shared" ref="R235:R242" si="2">+R247+R259+R271</f>
        <v>469099</v>
      </c>
      <c r="S235" s="378">
        <f t="shared" ref="S235:S242" si="3">R235/$R$244</f>
        <v>0.97219971275385331</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+P248+P260+P272</f>
        <v>34</v>
      </c>
      <c r="Q236" s="378">
        <f t="shared" si="1"/>
        <v>9.5131505316172361E-3</v>
      </c>
      <c r="R236" s="333">
        <f t="shared" si="2"/>
        <v>7626</v>
      </c>
      <c r="S236" s="378">
        <f t="shared" si="3"/>
        <v>1.5804755519540407E-2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ref="P237:P242" si="4">+P249+P261+P273</f>
        <v>8</v>
      </c>
      <c r="Q237" s="378">
        <f t="shared" si="1"/>
        <v>2.2383883603805262E-3</v>
      </c>
      <c r="R237" s="333">
        <f t="shared" si="2"/>
        <v>1457</v>
      </c>
      <c r="S237" s="378">
        <f t="shared" si="3"/>
        <v>3.019607761863411E-3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4"/>
        <v>6</v>
      </c>
      <c r="Q238" s="378">
        <f t="shared" si="1"/>
        <v>1.6787912702853946E-3</v>
      </c>
      <c r="R238" s="333">
        <f t="shared" si="2"/>
        <v>618</v>
      </c>
      <c r="S238" s="378">
        <f t="shared" si="3"/>
        <v>1.2807945070910007E-3</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4"/>
        <v>2</v>
      </c>
      <c r="Q239" s="378">
        <f t="shared" si="1"/>
        <v>5.5959709009513155E-4</v>
      </c>
      <c r="R239" s="333">
        <f t="shared" si="2"/>
        <v>462</v>
      </c>
      <c r="S239" s="378">
        <f t="shared" si="3"/>
        <v>9.574871557864762E-4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4"/>
        <v>2</v>
      </c>
      <c r="Q240" s="378">
        <f t="shared" si="1"/>
        <v>5.5959709009513155E-4</v>
      </c>
      <c r="R240" s="333">
        <f t="shared" si="2"/>
        <v>184</v>
      </c>
      <c r="S240" s="378">
        <f t="shared" si="3"/>
        <v>3.8133687589764421E-4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4"/>
        <v>10</v>
      </c>
      <c r="Q241" s="378">
        <f t="shared" si="1"/>
        <v>2.7979854504756574E-3</v>
      </c>
      <c r="R241" s="333">
        <f t="shared" si="2"/>
        <v>1432</v>
      </c>
      <c r="S241" s="378">
        <f t="shared" si="3"/>
        <v>2.9677956863338397E-3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4"/>
        <v>10</v>
      </c>
      <c r="Q242" s="378">
        <f t="shared" si="1"/>
        <v>2.7979854504756574E-3</v>
      </c>
      <c r="R242" s="333">
        <f t="shared" si="2"/>
        <v>1635</v>
      </c>
      <c r="S242" s="383">
        <f t="shared" si="3"/>
        <v>3.3885097396339579E-3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3574</v>
      </c>
      <c r="Q244" s="378">
        <f>SUM(Q235:Q243)</f>
        <v>0.99999999999999989</v>
      </c>
      <c r="R244" s="333">
        <f>SUM(R235:R243)</f>
        <v>482513</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260" t="s">
        <v>171</v>
      </c>
      <c r="C246" s="261"/>
      <c r="D246" s="261"/>
      <c r="E246" s="261"/>
      <c r="F246" s="271"/>
      <c r="G246" s="261"/>
      <c r="H246" s="261"/>
      <c r="I246" s="261"/>
      <c r="J246" s="261"/>
      <c r="K246" s="261"/>
      <c r="L246" s="261"/>
      <c r="M246" s="261"/>
      <c r="N246" s="261"/>
      <c r="O246" s="261"/>
      <c r="P246" s="271" t="s">
        <v>106</v>
      </c>
      <c r="Q246" s="261" t="s">
        <v>107</v>
      </c>
      <c r="R246" s="271" t="s">
        <v>115</v>
      </c>
      <c r="S246" s="261" t="s">
        <v>107</v>
      </c>
      <c r="T246" s="253"/>
      <c r="U246" s="260"/>
      <c r="V246" s="5"/>
    </row>
    <row r="247" spans="1:23" x14ac:dyDescent="0.35">
      <c r="A247" s="190"/>
      <c r="B247" s="227" t="s">
        <v>92</v>
      </c>
      <c r="C247" s="243"/>
      <c r="D247" s="243"/>
      <c r="E247" s="243"/>
      <c r="F247" s="224"/>
      <c r="G247" s="243"/>
      <c r="H247" s="243"/>
      <c r="I247" s="243"/>
      <c r="J247" s="243"/>
      <c r="K247" s="243"/>
      <c r="L247" s="243"/>
      <c r="M247" s="243"/>
      <c r="N247" s="243"/>
      <c r="O247" s="243"/>
      <c r="P247" s="227">
        <v>3438</v>
      </c>
      <c r="Q247" s="244">
        <f t="shared" ref="Q247:Q254" si="5">P247/$P$256</f>
        <v>0.98821500431158382</v>
      </c>
      <c r="R247" s="237">
        <v>458435</v>
      </c>
      <c r="S247" s="244">
        <f t="shared" ref="S247:S254" si="6">R247/$R$256</f>
        <v>0.98069563319991704</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32</v>
      </c>
      <c r="Q248" s="378">
        <f t="shared" si="5"/>
        <v>9.1980454153492378E-3</v>
      </c>
      <c r="R248" s="333">
        <v>7379</v>
      </c>
      <c r="S248" s="378">
        <f t="shared" si="6"/>
        <v>1.5785341602151205E-2</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7</v>
      </c>
      <c r="Q249" s="378">
        <f t="shared" si="5"/>
        <v>2.012072434607646E-3</v>
      </c>
      <c r="R249" s="333">
        <v>1404</v>
      </c>
      <c r="S249" s="378">
        <f t="shared" si="6"/>
        <v>3.0034719622469563E-3</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2</v>
      </c>
      <c r="Q250" s="378">
        <f t="shared" si="5"/>
        <v>5.7487783845932736E-4</v>
      </c>
      <c r="R250" s="333">
        <v>241</v>
      </c>
      <c r="S250" s="378">
        <f t="shared" si="6"/>
        <v>5.1555323568484076E-4</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3479</v>
      </c>
      <c r="Q256" s="378">
        <f>SUM(Q247:Q255)</f>
        <v>1</v>
      </c>
      <c r="R256" s="333">
        <f>SUM(R247:R255)</f>
        <v>467459</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260" t="s">
        <v>275</v>
      </c>
      <c r="C258" s="261"/>
      <c r="D258" s="261"/>
      <c r="E258" s="261"/>
      <c r="F258" s="271"/>
      <c r="G258" s="261"/>
      <c r="H258" s="261"/>
      <c r="I258" s="261"/>
      <c r="J258" s="261"/>
      <c r="K258" s="261"/>
      <c r="L258" s="261"/>
      <c r="M258" s="261"/>
      <c r="N258" s="261"/>
      <c r="O258" s="261"/>
      <c r="P258" s="271" t="s">
        <v>106</v>
      </c>
      <c r="Q258" s="261" t="s">
        <v>107</v>
      </c>
      <c r="R258" s="271" t="s">
        <v>115</v>
      </c>
      <c r="S258" s="261"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64</v>
      </c>
      <c r="Q259" s="244">
        <f t="shared" ref="Q259:Q266" si="7">P259/$P$268</f>
        <v>0.67368421052631577</v>
      </c>
      <c r="R259" s="237">
        <v>10664</v>
      </c>
      <c r="S259" s="244">
        <f t="shared" ref="S259:S266" si="8">R259/$R$268</f>
        <v>0.70838315397900886</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2</v>
      </c>
      <c r="Q260" s="378">
        <f t="shared" si="7"/>
        <v>2.1052631578947368E-2</v>
      </c>
      <c r="R260" s="333">
        <v>247</v>
      </c>
      <c r="S260" s="378">
        <f t="shared" si="8"/>
        <v>1.6407599309153715E-2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v>
      </c>
      <c r="Q261" s="378">
        <f t="shared" si="7"/>
        <v>1.0526315789473684E-2</v>
      </c>
      <c r="R261" s="333">
        <v>53</v>
      </c>
      <c r="S261" s="378">
        <f t="shared" si="8"/>
        <v>3.5206589610734689E-3</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4</v>
      </c>
      <c r="Q262" s="378">
        <f t="shared" si="7"/>
        <v>4.2105263157894736E-2</v>
      </c>
      <c r="R262" s="333">
        <v>377</v>
      </c>
      <c r="S262" s="378">
        <f t="shared" si="8"/>
        <v>2.5043177892918825E-2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2</v>
      </c>
      <c r="Q263" s="378">
        <f t="shared" si="7"/>
        <v>2.1052631578947368E-2</v>
      </c>
      <c r="R263" s="333">
        <v>462</v>
      </c>
      <c r="S263" s="378">
        <f t="shared" si="8"/>
        <v>3.0689517736149859E-2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2</v>
      </c>
      <c r="Q264" s="378">
        <f t="shared" si="7"/>
        <v>2.1052631578947368E-2</v>
      </c>
      <c r="R264" s="333">
        <v>184</v>
      </c>
      <c r="S264" s="378">
        <f t="shared" si="8"/>
        <v>1.2222665072406005E-2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10</v>
      </c>
      <c r="Q265" s="378">
        <f t="shared" si="7"/>
        <v>0.10526315789473684</v>
      </c>
      <c r="R265" s="333">
        <v>1432</v>
      </c>
      <c r="S265" s="378">
        <f t="shared" si="8"/>
        <v>9.5124219476551086E-2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10</v>
      </c>
      <c r="Q266" s="378">
        <f t="shared" si="7"/>
        <v>0.10526315789473684</v>
      </c>
      <c r="R266" s="333">
        <v>1635</v>
      </c>
      <c r="S266" s="378">
        <f t="shared" si="8"/>
        <v>0.10860900757273814</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95</v>
      </c>
      <c r="Q268" s="378">
        <f>SUM(Q259:Q267)</f>
        <v>0.99999999999999989</v>
      </c>
      <c r="R268" s="333">
        <f>SUM(R259:R267)</f>
        <v>15054</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260" t="s">
        <v>173</v>
      </c>
      <c r="C270" s="273"/>
      <c r="D270" s="273"/>
      <c r="E270" s="273"/>
      <c r="F270" s="273"/>
      <c r="G270" s="273"/>
      <c r="H270" s="275"/>
      <c r="I270" s="275"/>
      <c r="J270" s="275"/>
      <c r="K270" s="275"/>
      <c r="L270" s="275"/>
      <c r="M270" s="275"/>
      <c r="N270" s="275"/>
      <c r="O270" s="275"/>
      <c r="P270" s="271" t="s">
        <v>106</v>
      </c>
      <c r="Q270" s="261" t="s">
        <v>107</v>
      </c>
      <c r="R270" s="271" t="s">
        <v>115</v>
      </c>
      <c r="S270" s="261"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8" t="s">
        <v>174</v>
      </c>
      <c r="C282" s="279"/>
      <c r="D282" s="279"/>
      <c r="E282" s="279"/>
      <c r="F282" s="279"/>
      <c r="G282" s="279"/>
      <c r="H282" s="380"/>
      <c r="I282" s="380"/>
      <c r="J282" s="380"/>
      <c r="K282" s="380"/>
      <c r="L282" s="380"/>
      <c r="M282" s="380"/>
      <c r="N282" s="380"/>
      <c r="O282" s="380"/>
      <c r="P282" s="381">
        <f>P280+P268+P256</f>
        <v>3574</v>
      </c>
      <c r="Q282" s="378"/>
      <c r="R282" s="382">
        <f>+R280+R268+R256</f>
        <v>482513</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NOVEMBER 2010</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phoneticPr fontId="0" type="noConversion"/>
  <hyperlinks>
    <hyperlink ref="J9" r:id="rId1" xr:uid="{00000000-0004-0000-1300-000000000000}"/>
    <hyperlink ref="N232" r:id="rId2" xr:uid="{00000000-0004-0000-1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2D2926"/>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0.65649999999999997</v>
      </c>
      <c r="R16" s="222" t="s">
        <v>147</v>
      </c>
      <c r="S16" s="221">
        <v>0.34350000000000003</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40619</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5"/>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84" t="s">
        <v>223</v>
      </c>
      <c r="C25" s="285"/>
      <c r="D25" s="280" t="s">
        <v>258</v>
      </c>
      <c r="E25" s="280"/>
      <c r="F25" s="280" t="s">
        <v>150</v>
      </c>
      <c r="G25" s="280"/>
      <c r="H25" s="280" t="s">
        <v>150</v>
      </c>
      <c r="I25" s="280"/>
      <c r="J25" s="280" t="s">
        <v>175</v>
      </c>
      <c r="K25" s="280"/>
      <c r="L25" s="280" t="s">
        <v>175</v>
      </c>
      <c r="M25" s="280"/>
      <c r="N25" s="280" t="s">
        <v>151</v>
      </c>
      <c r="O25" s="280"/>
      <c r="P25" s="280" t="s">
        <v>151</v>
      </c>
      <c r="Q25" s="285"/>
      <c r="R25" s="280"/>
      <c r="S25" s="281"/>
      <c r="T25" s="281"/>
      <c r="U25" s="282"/>
      <c r="V25" s="5"/>
    </row>
    <row r="26" spans="1:22" x14ac:dyDescent="0.35">
      <c r="A26" s="283"/>
      <c r="B26" s="286" t="s">
        <v>9</v>
      </c>
      <c r="C26" s="285"/>
      <c r="D26" s="285" t="s">
        <v>256</v>
      </c>
      <c r="E26" s="285"/>
      <c r="F26" s="285" t="s">
        <v>148</v>
      </c>
      <c r="G26" s="285"/>
      <c r="H26" s="285" t="s">
        <v>148</v>
      </c>
      <c r="I26" s="285"/>
      <c r="J26" s="285" t="s">
        <v>198</v>
      </c>
      <c r="K26" s="285"/>
      <c r="L26" s="285" t="s">
        <v>198</v>
      </c>
      <c r="M26" s="285"/>
      <c r="N26" s="285" t="s">
        <v>149</v>
      </c>
      <c r="O26" s="285"/>
      <c r="P26" s="285" t="s">
        <v>149</v>
      </c>
      <c r="Q26" s="285"/>
      <c r="R26" s="280"/>
      <c r="S26" s="281"/>
      <c r="T26" s="281"/>
      <c r="U26" s="282"/>
      <c r="V26" s="5"/>
    </row>
    <row r="27" spans="1:22" x14ac:dyDescent="0.35">
      <c r="A27" s="278"/>
      <c r="B27" s="286" t="s">
        <v>224</v>
      </c>
      <c r="C27" s="280"/>
      <c r="D27" s="285" t="s">
        <v>257</v>
      </c>
      <c r="E27" s="285"/>
      <c r="F27" s="285" t="s">
        <v>150</v>
      </c>
      <c r="G27" s="285"/>
      <c r="H27" s="285" t="s">
        <v>150</v>
      </c>
      <c r="I27" s="285"/>
      <c r="J27" s="285" t="s">
        <v>175</v>
      </c>
      <c r="K27" s="285"/>
      <c r="L27" s="285" t="s">
        <v>175</v>
      </c>
      <c r="M27" s="285"/>
      <c r="N27" s="285" t="s">
        <v>151</v>
      </c>
      <c r="O27" s="285"/>
      <c r="P27" s="285" t="s">
        <v>151</v>
      </c>
      <c r="Q27" s="280"/>
      <c r="R27" s="287"/>
      <c r="S27" s="281"/>
      <c r="T27" s="281"/>
      <c r="U27" s="282"/>
      <c r="V27" s="5"/>
    </row>
    <row r="28" spans="1:22" x14ac:dyDescent="0.35">
      <c r="A28" s="278"/>
      <c r="B28" s="288" t="s">
        <v>225</v>
      </c>
      <c r="C28" s="280"/>
      <c r="D28" s="285" t="s">
        <v>258</v>
      </c>
      <c r="E28" s="285"/>
      <c r="F28" s="285" t="s">
        <v>150</v>
      </c>
      <c r="G28" s="285"/>
      <c r="H28" s="285" t="s">
        <v>150</v>
      </c>
      <c r="I28" s="285"/>
      <c r="J28" s="285" t="s">
        <v>150</v>
      </c>
      <c r="K28" s="285"/>
      <c r="L28" s="285" t="s">
        <v>150</v>
      </c>
      <c r="M28" s="285"/>
      <c r="N28" s="285" t="s">
        <v>151</v>
      </c>
      <c r="O28" s="285"/>
      <c r="P28" s="285"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197405.22999999998</v>
      </c>
      <c r="E32" s="289"/>
      <c r="F32" s="290">
        <f>F31*F38</f>
        <v>105000</v>
      </c>
      <c r="G32" s="290"/>
      <c r="H32" s="295">
        <f>H31*H38</f>
        <v>222000</v>
      </c>
      <c r="I32" s="290"/>
      <c r="J32" s="290">
        <f>J31*J38</f>
        <v>31000</v>
      </c>
      <c r="K32" s="290"/>
      <c r="L32" s="295">
        <f>L31*L38</f>
        <v>19500</v>
      </c>
      <c r="M32" s="290"/>
      <c r="N32" s="296">
        <f>N31*N38</f>
        <v>51500</v>
      </c>
      <c r="O32" s="290"/>
      <c r="P32" s="295">
        <f>P31*P38</f>
        <v>27500</v>
      </c>
      <c r="Q32" s="290"/>
      <c r="R32" s="290"/>
      <c r="S32" s="291"/>
      <c r="T32" s="290"/>
      <c r="U32" s="292"/>
      <c r="V32" s="5"/>
    </row>
    <row r="33" spans="1:22" x14ac:dyDescent="0.35">
      <c r="A33" s="278"/>
      <c r="B33" s="286" t="s">
        <v>141</v>
      </c>
      <c r="C33" s="289"/>
      <c r="D33" s="299">
        <f>D37*D31</f>
        <v>197405.22999999998</v>
      </c>
      <c r="E33" s="293"/>
      <c r="F33" s="297">
        <f>F37*F31</f>
        <v>105000</v>
      </c>
      <c r="G33" s="297"/>
      <c r="H33" s="300">
        <f>H31*H37</f>
        <v>222000</v>
      </c>
      <c r="I33" s="297"/>
      <c r="J33" s="297">
        <f>J31*J37</f>
        <v>30066.8256</v>
      </c>
      <c r="K33" s="297"/>
      <c r="L33" s="300">
        <f>L31*L37</f>
        <v>18913.003199999999</v>
      </c>
      <c r="M33" s="297"/>
      <c r="N33" s="297">
        <f>N31*N37</f>
        <v>49949.7264</v>
      </c>
      <c r="O33" s="297"/>
      <c r="P33" s="300">
        <f>P31*P37</f>
        <v>26672.184000000001</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301">
        <f>SUM(C34:P34)</f>
        <v>1000353</v>
      </c>
      <c r="U34" s="292"/>
      <c r="V34" s="5"/>
    </row>
    <row r="35" spans="1:22" x14ac:dyDescent="0.35">
      <c r="A35" s="283"/>
      <c r="B35" s="279" t="s">
        <v>297</v>
      </c>
      <c r="C35" s="302"/>
      <c r="D35" s="290">
        <f>D34*D38</f>
        <v>113256.0463928</v>
      </c>
      <c r="E35" s="289"/>
      <c r="F35" s="290">
        <f>F34*F38</f>
        <v>105000</v>
      </c>
      <c r="G35" s="290"/>
      <c r="H35" s="290">
        <f>H34*H38</f>
        <v>150000</v>
      </c>
      <c r="I35" s="290"/>
      <c r="J35" s="290">
        <f>J32</f>
        <v>31000</v>
      </c>
      <c r="K35" s="290"/>
      <c r="L35" s="290">
        <f>L34*L38</f>
        <v>13176</v>
      </c>
      <c r="M35" s="290"/>
      <c r="N35" s="290">
        <f>N32</f>
        <v>51500</v>
      </c>
      <c r="O35" s="290"/>
      <c r="P35" s="290">
        <f>P34*P38</f>
        <v>18581</v>
      </c>
      <c r="Q35" s="290"/>
      <c r="R35" s="290"/>
      <c r="S35" s="291"/>
      <c r="T35" s="301">
        <f>SUM(C35:P35)</f>
        <v>482513.0463928</v>
      </c>
      <c r="U35" s="292"/>
      <c r="V35" s="5"/>
    </row>
    <row r="36" spans="1:22" x14ac:dyDescent="0.35">
      <c r="A36" s="283"/>
      <c r="B36" s="286" t="s">
        <v>298</v>
      </c>
      <c r="C36" s="302"/>
      <c r="D36" s="297">
        <f>D37*D34</f>
        <v>113256.0463928</v>
      </c>
      <c r="E36" s="293"/>
      <c r="F36" s="297">
        <f>F37*F34</f>
        <v>105000</v>
      </c>
      <c r="G36" s="297"/>
      <c r="H36" s="297">
        <f>H37*H34</f>
        <v>150000</v>
      </c>
      <c r="I36" s="297"/>
      <c r="J36" s="297">
        <f>J37*J34</f>
        <v>30066.8256</v>
      </c>
      <c r="K36" s="297"/>
      <c r="L36" s="297">
        <f>L37*L34</f>
        <v>12779.370777600001</v>
      </c>
      <c r="M36" s="297"/>
      <c r="N36" s="297">
        <f>N37*N34</f>
        <v>49949.7264</v>
      </c>
      <c r="O36" s="297"/>
      <c r="P36" s="297">
        <f>P34*P37</f>
        <v>18021.6673056</v>
      </c>
      <c r="Q36" s="303"/>
      <c r="R36" s="303"/>
      <c r="S36" s="291"/>
      <c r="T36" s="304">
        <f>SUM(C36:P36)</f>
        <v>479073.63647599996</v>
      </c>
      <c r="U36" s="292"/>
      <c r="V36" s="5"/>
    </row>
    <row r="37" spans="1:22" x14ac:dyDescent="0.35">
      <c r="A37" s="305"/>
      <c r="B37" s="306" t="s">
        <v>137</v>
      </c>
      <c r="C37" s="307"/>
      <c r="D37" s="308">
        <v>0.17945929999999999</v>
      </c>
      <c r="E37" s="309"/>
      <c r="F37" s="308">
        <v>1</v>
      </c>
      <c r="G37" s="308"/>
      <c r="H37" s="308">
        <v>1</v>
      </c>
      <c r="I37" s="308"/>
      <c r="J37" s="308">
        <v>0.96989760000000003</v>
      </c>
      <c r="K37" s="308"/>
      <c r="L37" s="308">
        <v>0.96989760000000003</v>
      </c>
      <c r="M37" s="308"/>
      <c r="N37" s="308">
        <v>0.96989760000000003</v>
      </c>
      <c r="O37" s="308"/>
      <c r="P37" s="308">
        <v>0.96989760000000003</v>
      </c>
      <c r="Q37" s="310"/>
      <c r="R37" s="310"/>
      <c r="S37" s="311"/>
      <c r="T37" s="311"/>
      <c r="U37" s="312"/>
      <c r="V37" s="5"/>
    </row>
    <row r="38" spans="1:22" x14ac:dyDescent="0.35">
      <c r="A38" s="305"/>
      <c r="B38" s="306" t="s">
        <v>138</v>
      </c>
      <c r="C38" s="307"/>
      <c r="D38" s="308">
        <v>0.17945929999999999</v>
      </c>
      <c r="E38" s="309"/>
      <c r="F38" s="308">
        <v>1</v>
      </c>
      <c r="G38" s="308"/>
      <c r="H38" s="308">
        <v>1</v>
      </c>
      <c r="I38" s="308"/>
      <c r="J38" s="308">
        <v>1</v>
      </c>
      <c r="K38" s="308"/>
      <c r="L38" s="308">
        <v>1</v>
      </c>
      <c r="M38" s="308"/>
      <c r="N38" s="308">
        <v>1</v>
      </c>
      <c r="O38" s="308"/>
      <c r="P38" s="308">
        <v>1</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3.5574999999999999E-3</v>
      </c>
      <c r="E40" s="279"/>
      <c r="F40" s="316">
        <v>1.06938E-2</v>
      </c>
      <c r="G40" s="315"/>
      <c r="H40" s="316">
        <v>1.346E-2</v>
      </c>
      <c r="I40" s="315"/>
      <c r="J40" s="316">
        <v>1.28938E-2</v>
      </c>
      <c r="K40" s="315"/>
      <c r="L40" s="316">
        <v>1.566E-2</v>
      </c>
      <c r="M40" s="315"/>
      <c r="N40" s="316">
        <v>1.8493800000000001E-2</v>
      </c>
      <c r="O40" s="315"/>
      <c r="P40" s="316">
        <v>2.1260000000000001E-2</v>
      </c>
      <c r="Q40" s="315"/>
      <c r="R40" s="316"/>
      <c r="S40" s="281"/>
      <c r="T40" s="287"/>
      <c r="U40" s="282"/>
      <c r="V40" s="5"/>
    </row>
    <row r="41" spans="1:22" x14ac:dyDescent="0.35">
      <c r="A41" s="278"/>
      <c r="B41" s="279" t="s">
        <v>13</v>
      </c>
      <c r="C41" s="279"/>
      <c r="D41" s="316">
        <v>3.4344000000000002E-3</v>
      </c>
      <c r="E41" s="279"/>
      <c r="F41" s="316">
        <v>8.8468999999999996E-3</v>
      </c>
      <c r="G41" s="315"/>
      <c r="H41" s="316">
        <v>1.039E-2</v>
      </c>
      <c r="I41" s="315"/>
      <c r="J41" s="316">
        <v>9.9468999999999998E-3</v>
      </c>
      <c r="K41" s="315"/>
      <c r="L41" s="316">
        <v>1.149E-2</v>
      </c>
      <c r="M41" s="315"/>
      <c r="N41" s="316">
        <v>1.27469E-2</v>
      </c>
      <c r="O41" s="315"/>
      <c r="P41" s="316">
        <v>1.4290000000000001E-2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8.6493999999999998E-3</v>
      </c>
      <c r="E43" s="279"/>
      <c r="F43" s="316">
        <f>+F40</f>
        <v>1.06938E-2</v>
      </c>
      <c r="G43" s="315"/>
      <c r="H43" s="316">
        <v>1.1143800000000001E-2</v>
      </c>
      <c r="I43" s="315"/>
      <c r="J43" s="316">
        <f>+J40</f>
        <v>1.28938E-2</v>
      </c>
      <c r="K43" s="315"/>
      <c r="L43" s="316">
        <v>1.36238E-2</v>
      </c>
      <c r="M43" s="315"/>
      <c r="N43" s="316">
        <f>+N40</f>
        <v>1.8493800000000001E-2</v>
      </c>
      <c r="O43" s="315"/>
      <c r="P43" s="316">
        <v>1.97238E-2</v>
      </c>
      <c r="Q43" s="287"/>
      <c r="R43" s="287"/>
      <c r="S43" s="281"/>
      <c r="T43" s="315">
        <f>SUMPRODUCT(D43:P43,D35:P35)/T35</f>
        <v>1.1755432328046008E-2</v>
      </c>
      <c r="U43" s="282"/>
      <c r="V43" s="5"/>
    </row>
    <row r="44" spans="1:22" x14ac:dyDescent="0.35">
      <c r="A44" s="278"/>
      <c r="B44" s="279" t="s">
        <v>301</v>
      </c>
      <c r="C44" s="317"/>
      <c r="D44" s="316">
        <v>8.4025000000000002E-3</v>
      </c>
      <c r="E44" s="279"/>
      <c r="F44" s="316">
        <f>+F41</f>
        <v>8.8468999999999996E-3</v>
      </c>
      <c r="G44" s="315"/>
      <c r="H44" s="316">
        <v>9.0719000000000008E-3</v>
      </c>
      <c r="I44" s="315"/>
      <c r="J44" s="316">
        <f>+J41</f>
        <v>9.9468999999999998E-3</v>
      </c>
      <c r="K44" s="315"/>
      <c r="L44" s="316">
        <v>1.0311900000000001E-2</v>
      </c>
      <c r="M44" s="315"/>
      <c r="N44" s="316">
        <f>+N41</f>
        <v>1.27469E-2</v>
      </c>
      <c r="O44" s="315"/>
      <c r="P44" s="316">
        <v>1.3361899999999999E-2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318"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0.30092537833037103</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40617</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40436</v>
      </c>
      <c r="S57" s="328"/>
      <c r="T57" s="327">
        <v>40526</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90</v>
      </c>
      <c r="Q58" s="279"/>
      <c r="R58" s="327">
        <v>40527</v>
      </c>
      <c r="S58" s="328"/>
      <c r="T58" s="327">
        <v>40616</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40603</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309</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260"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482513</v>
      </c>
      <c r="M68" s="332"/>
      <c r="N68" s="332">
        <f>3439+38+53</f>
        <v>3530</v>
      </c>
      <c r="O68" s="332"/>
      <c r="P68" s="332">
        <f>38+53</f>
        <v>91</v>
      </c>
      <c r="Q68" s="332"/>
      <c r="R68" s="332">
        <v>0</v>
      </c>
      <c r="S68" s="332"/>
      <c r="T68" s="333">
        <f>+L68-N68+P68-R68</f>
        <v>479074</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482513</v>
      </c>
      <c r="M71" s="332"/>
      <c r="N71" s="332">
        <f>SUM(N68:N70)</f>
        <v>3530</v>
      </c>
      <c r="O71" s="332"/>
      <c r="P71" s="332">
        <f>SUM(P68:P70)</f>
        <v>91</v>
      </c>
      <c r="Q71" s="332"/>
      <c r="R71" s="332">
        <f>SUM(R68:R70)</f>
        <v>0</v>
      </c>
      <c r="S71" s="332"/>
      <c r="T71" s="332">
        <f>SUM(T68:T70)</f>
        <v>479074</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482513</v>
      </c>
      <c r="M84" s="332"/>
      <c r="N84" s="332"/>
      <c r="O84" s="332"/>
      <c r="P84" s="332"/>
      <c r="Q84" s="332"/>
      <c r="R84" s="332"/>
      <c r="S84" s="332"/>
      <c r="T84" s="332">
        <f>SUM(T71:T83)</f>
        <v>479074</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260" t="s">
        <v>27</v>
      </c>
      <c r="C87" s="260"/>
      <c r="D87" s="260"/>
      <c r="E87" s="260"/>
      <c r="F87" s="260"/>
      <c r="G87" s="260"/>
      <c r="H87" s="261"/>
      <c r="I87" s="261"/>
      <c r="J87" s="262" t="s">
        <v>99</v>
      </c>
      <c r="K87" s="261"/>
      <c r="L87" s="263">
        <f>+R197</f>
        <v>40602</v>
      </c>
      <c r="M87" s="261"/>
      <c r="N87" s="261"/>
      <c r="O87" s="261"/>
      <c r="P87" s="261"/>
      <c r="Q87" s="261"/>
      <c r="R87" s="261" t="s">
        <v>112</v>
      </c>
      <c r="S87" s="261"/>
      <c r="T87" s="261"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3530-185</f>
        <v>3345</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2381+1494-361-379+38</f>
        <v>3173</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12+17</f>
        <v>29</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36</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325</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3345</v>
      </c>
      <c r="S96" s="279"/>
      <c r="T96" s="332">
        <f>SUM(T88:T95)</f>
        <v>3563</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-20</v>
      </c>
      <c r="S97" s="279"/>
      <c r="T97" s="332">
        <v>20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216</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3325</v>
      </c>
      <c r="S100" s="279"/>
      <c r="T100" s="332">
        <f>T96+T98+T97+T99</f>
        <v>3799</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-181-134-6</f>
        <v>-321</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-157</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-241-412</f>
        <v>-653</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-277</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-44</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-99</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-90</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-235</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-13</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185</v>
      </c>
      <c r="S114" s="279"/>
      <c r="T114" s="333">
        <v>-185</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-181</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-1541</v>
      </c>
      <c r="U119" s="282"/>
      <c r="V119" s="5"/>
    </row>
    <row r="120" spans="1:22" x14ac:dyDescent="0.35">
      <c r="A120" s="278"/>
      <c r="B120" s="340"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-33</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-38</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0</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-933</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-397</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-1550</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-559</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-3510</v>
      </c>
      <c r="S131" s="332"/>
      <c r="T131" s="332">
        <f>SUM(T101:T129)</f>
        <v>-3799</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FEBRUARY 2011</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267"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185</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185</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-185</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479074</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479074</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+'Nov 10'!Q182</f>
        <v>42842</v>
      </c>
      <c r="R180" s="333">
        <f>+'Nov 10'!R182</f>
        <v>5971</v>
      </c>
      <c r="S180" s="279"/>
      <c r="T180" s="333">
        <f>Q180+R180</f>
        <v>48813</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38</v>
      </c>
      <c r="R181" s="332">
        <v>0</v>
      </c>
      <c r="S181" s="279"/>
      <c r="T181" s="333">
        <f>Q181+R181</f>
        <v>38</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42880</v>
      </c>
      <c r="R182" s="333">
        <f>R181+R180</f>
        <v>5971</v>
      </c>
      <c r="S182" s="279"/>
      <c r="T182" s="333">
        <f>Q182+R182</f>
        <v>48851</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111205.48000000001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3.5677419354838711</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1.53</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16.6993006993007</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7.62</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6.907692307692308</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3.88</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FEBRUARY 2011</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267" t="s">
        <v>72</v>
      </c>
      <c r="C197" s="268"/>
      <c r="D197" s="268"/>
      <c r="E197" s="268"/>
      <c r="F197" s="268"/>
      <c r="G197" s="269"/>
      <c r="H197" s="269"/>
      <c r="I197" s="269"/>
      <c r="J197" s="269"/>
      <c r="K197" s="269"/>
      <c r="L197" s="269"/>
      <c r="M197" s="269"/>
      <c r="N197" s="269"/>
      <c r="O197" s="269"/>
      <c r="P197" s="269"/>
      <c r="Q197" s="269"/>
      <c r="R197" s="269">
        <v>40602</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2.546E-2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1.1755432328046008E-2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1.3704567671953992E-2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7.8733629974736437E-3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16.41</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7.3158650647754571E-3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0.1384</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260" t="s">
        <v>81</v>
      </c>
      <c r="C214" s="261"/>
      <c r="D214" s="261"/>
      <c r="E214" s="261"/>
      <c r="F214" s="271"/>
      <c r="G214" s="261"/>
      <c r="H214" s="261"/>
      <c r="I214" s="261"/>
      <c r="J214" s="261"/>
      <c r="K214" s="261"/>
      <c r="L214" s="261"/>
      <c r="M214" s="261"/>
      <c r="N214" s="261"/>
      <c r="O214" s="261"/>
      <c r="P214" s="261"/>
      <c r="Q214" s="261" t="s">
        <v>106</v>
      </c>
      <c r="R214" s="271"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1</v>
      </c>
      <c r="R215" s="241">
        <v>91</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107</v>
      </c>
      <c r="R216" s="358">
        <f>+R268</f>
        <v>17993</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84" t="s">
        <v>87</v>
      </c>
      <c r="C221" s="366"/>
      <c r="D221" s="366"/>
      <c r="E221" s="366"/>
      <c r="F221" s="366"/>
      <c r="G221" s="307"/>
      <c r="H221" s="307"/>
      <c r="I221" s="307"/>
      <c r="J221" s="307"/>
      <c r="K221" s="307"/>
      <c r="L221" s="307"/>
      <c r="M221" s="307"/>
      <c r="N221" s="307"/>
      <c r="O221" s="307"/>
      <c r="P221" s="307"/>
      <c r="Q221" s="287"/>
      <c r="R221" s="358">
        <f>+T165</f>
        <v>185</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'Nov 10'!R222+R221</f>
        <v>4711</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4</v>
      </c>
      <c r="R228" s="358">
        <v>708</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4.84</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260" t="s">
        <v>307</v>
      </c>
      <c r="C234" s="261"/>
      <c r="D234" s="261"/>
      <c r="E234" s="261"/>
      <c r="F234" s="271"/>
      <c r="G234" s="261"/>
      <c r="H234" s="261"/>
      <c r="I234" s="261"/>
      <c r="J234" s="261"/>
      <c r="K234" s="261"/>
      <c r="L234" s="261"/>
      <c r="M234" s="261"/>
      <c r="N234" s="261"/>
      <c r="O234" s="261"/>
      <c r="P234" s="271" t="s">
        <v>106</v>
      </c>
      <c r="Q234" s="261" t="s">
        <v>107</v>
      </c>
      <c r="R234" s="271" t="s">
        <v>115</v>
      </c>
      <c r="S234" s="261" t="s">
        <v>107</v>
      </c>
      <c r="T234" s="253"/>
      <c r="U234" s="260"/>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3475</v>
      </c>
      <c r="Q235" s="378">
        <f t="shared" ref="Q235:Q242" si="2">P235/$P$244</f>
        <v>0.97887323943661975</v>
      </c>
      <c r="R235" s="237">
        <f t="shared" ref="R235:R242" si="3">+R247+R259+R271</f>
        <v>466445</v>
      </c>
      <c r="S235" s="378">
        <f t="shared" ref="S235:S242" si="4">R235/$R$244</f>
        <v>0.97363872804618912</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40</v>
      </c>
      <c r="Q236" s="378">
        <f t="shared" si="2"/>
        <v>1.1267605633802818E-2</v>
      </c>
      <c r="R236" s="333">
        <f t="shared" si="3"/>
        <v>6626</v>
      </c>
      <c r="S236" s="378">
        <f t="shared" si="4"/>
        <v>1.383084867890973E-2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7</v>
      </c>
      <c r="Q237" s="378">
        <f t="shared" si="2"/>
        <v>1.9718309859154928E-3</v>
      </c>
      <c r="R237" s="333">
        <f t="shared" si="3"/>
        <v>1181</v>
      </c>
      <c r="S237" s="378">
        <f t="shared" si="4"/>
        <v>2.4651723950788397E-3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4</v>
      </c>
      <c r="Q238" s="378">
        <f t="shared" si="2"/>
        <v>1.1267605633802818E-3</v>
      </c>
      <c r="R238" s="333">
        <f t="shared" si="3"/>
        <v>1173</v>
      </c>
      <c r="S238" s="378">
        <f t="shared" si="4"/>
        <v>2.4484735134864344E-3</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4</v>
      </c>
      <c r="Q239" s="378">
        <f t="shared" si="2"/>
        <v>1.1267605633802818E-3</v>
      </c>
      <c r="R239" s="333">
        <f t="shared" si="3"/>
        <v>782</v>
      </c>
      <c r="S239" s="378">
        <f t="shared" si="4"/>
        <v>1.6323156756576228E-3</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3</v>
      </c>
      <c r="Q240" s="378">
        <f t="shared" si="2"/>
        <v>8.4507042253521131E-4</v>
      </c>
      <c r="R240" s="333">
        <f t="shared" si="3"/>
        <v>448</v>
      </c>
      <c r="S240" s="378">
        <f t="shared" si="4"/>
        <v>9.3513736917469955E-4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9</v>
      </c>
      <c r="Q241" s="378">
        <f t="shared" si="2"/>
        <v>2.5352112676056337E-3</v>
      </c>
      <c r="R241" s="333">
        <f t="shared" si="3"/>
        <v>1084</v>
      </c>
      <c r="S241" s="378">
        <f t="shared" si="4"/>
        <v>2.2626984557709245E-3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8</v>
      </c>
      <c r="Q242" s="378">
        <f t="shared" si="2"/>
        <v>2.2535211267605635E-3</v>
      </c>
      <c r="R242" s="333">
        <f t="shared" si="3"/>
        <v>1335</v>
      </c>
      <c r="S242" s="383">
        <f t="shared" si="4"/>
        <v>2.7866258657326427E-3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3550</v>
      </c>
      <c r="Q244" s="378">
        <f>SUM(Q235:Q243)</f>
        <v>0.99999999999999989</v>
      </c>
      <c r="R244" s="333">
        <f>SUM(R235:R243)</f>
        <v>479074</v>
      </c>
      <c r="S244" s="378">
        <f>SUM(S235:S243)</f>
        <v>0.99999999999999989</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260" t="s">
        <v>171</v>
      </c>
      <c r="C246" s="261"/>
      <c r="D246" s="261"/>
      <c r="E246" s="261"/>
      <c r="F246" s="271"/>
      <c r="G246" s="261"/>
      <c r="H246" s="261"/>
      <c r="I246" s="261"/>
      <c r="J246" s="261"/>
      <c r="K246" s="261"/>
      <c r="L246" s="261"/>
      <c r="M246" s="261"/>
      <c r="N246" s="261"/>
      <c r="O246" s="261"/>
      <c r="P246" s="271" t="s">
        <v>106</v>
      </c>
      <c r="Q246" s="261" t="s">
        <v>107</v>
      </c>
      <c r="R246" s="271" t="s">
        <v>115</v>
      </c>
      <c r="S246" s="261" t="s">
        <v>107</v>
      </c>
      <c r="T246" s="253"/>
      <c r="U246" s="260"/>
      <c r="V246" s="5"/>
    </row>
    <row r="247" spans="1:23" x14ac:dyDescent="0.35">
      <c r="A247" s="190"/>
      <c r="B247" s="227" t="s">
        <v>92</v>
      </c>
      <c r="C247" s="243"/>
      <c r="D247" s="243"/>
      <c r="E247" s="243"/>
      <c r="F247" s="224"/>
      <c r="G247" s="243"/>
      <c r="H247" s="243"/>
      <c r="I247" s="243"/>
      <c r="J247" s="243"/>
      <c r="K247" s="243"/>
      <c r="L247" s="243"/>
      <c r="M247" s="243"/>
      <c r="N247" s="243"/>
      <c r="O247" s="243"/>
      <c r="P247" s="227">
        <v>3406</v>
      </c>
      <c r="Q247" s="244">
        <f t="shared" ref="Q247:Q254" si="5">P247/$P$256</f>
        <v>0.98925355794365377</v>
      </c>
      <c r="R247" s="237">
        <v>454943</v>
      </c>
      <c r="S247" s="244">
        <f t="shared" ref="S247:S254" si="6">R247/$R$256</f>
        <v>0.98668780539644874</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33</v>
      </c>
      <c r="Q248" s="378">
        <f t="shared" si="5"/>
        <v>9.5846645367412137E-3</v>
      </c>
      <c r="R248" s="333">
        <v>5587</v>
      </c>
      <c r="S248" s="378">
        <f t="shared" si="6"/>
        <v>1.2117176808413272E-2</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4</v>
      </c>
      <c r="Q249" s="378">
        <f t="shared" si="5"/>
        <v>1.1617775196049957E-3</v>
      </c>
      <c r="R249" s="333">
        <v>551</v>
      </c>
      <c r="S249" s="378">
        <f t="shared" si="6"/>
        <v>1.1950177951379475E-3</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3443</v>
      </c>
      <c r="Q256" s="378">
        <f>SUM(Q247:Q255)</f>
        <v>1</v>
      </c>
      <c r="R256" s="333">
        <f>SUM(R247:R255)</f>
        <v>461081</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260" t="s">
        <v>275</v>
      </c>
      <c r="C258" s="261"/>
      <c r="D258" s="261"/>
      <c r="E258" s="261"/>
      <c r="F258" s="271"/>
      <c r="G258" s="261"/>
      <c r="H258" s="261"/>
      <c r="I258" s="261"/>
      <c r="J258" s="261"/>
      <c r="K258" s="261"/>
      <c r="L258" s="261"/>
      <c r="M258" s="261"/>
      <c r="N258" s="261"/>
      <c r="O258" s="261"/>
      <c r="P258" s="271" t="s">
        <v>106</v>
      </c>
      <c r="Q258" s="261" t="s">
        <v>107</v>
      </c>
      <c r="R258" s="271" t="s">
        <v>115</v>
      </c>
      <c r="S258" s="261"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69</v>
      </c>
      <c r="Q259" s="244">
        <f t="shared" ref="Q259:Q266" si="7">P259/$P$268</f>
        <v>0.64485981308411211</v>
      </c>
      <c r="R259" s="237">
        <v>11502</v>
      </c>
      <c r="S259" s="244">
        <f t="shared" ref="S259:S266" si="8">R259/$R$268</f>
        <v>0.63924859667648526</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7</v>
      </c>
      <c r="Q260" s="378">
        <f t="shared" si="7"/>
        <v>6.5420560747663545E-2</v>
      </c>
      <c r="R260" s="333">
        <v>1039</v>
      </c>
      <c r="S260" s="378">
        <f t="shared" si="8"/>
        <v>5.7744678486077922E-2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3</v>
      </c>
      <c r="Q261" s="378">
        <f t="shared" si="7"/>
        <v>2.8037383177570093E-2</v>
      </c>
      <c r="R261" s="333">
        <v>630</v>
      </c>
      <c r="S261" s="378">
        <f t="shared" si="8"/>
        <v>3.501361640638026E-2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4</v>
      </c>
      <c r="Q262" s="378">
        <f t="shared" si="7"/>
        <v>3.7383177570093455E-2</v>
      </c>
      <c r="R262" s="333">
        <v>1173</v>
      </c>
      <c r="S262" s="378">
        <f t="shared" si="8"/>
        <v>6.5192019118546107E-2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4</v>
      </c>
      <c r="Q263" s="378">
        <f t="shared" si="7"/>
        <v>3.7383177570093455E-2</v>
      </c>
      <c r="R263" s="333">
        <v>782</v>
      </c>
      <c r="S263" s="378">
        <f t="shared" si="8"/>
        <v>4.3461346079030731E-2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3</v>
      </c>
      <c r="Q264" s="378">
        <f t="shared" si="7"/>
        <v>2.8037383177570093E-2</v>
      </c>
      <c r="R264" s="333">
        <v>448</v>
      </c>
      <c r="S264" s="378">
        <f t="shared" si="8"/>
        <v>2.4898571666759295E-2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9</v>
      </c>
      <c r="Q265" s="378">
        <f t="shared" si="7"/>
        <v>8.4112149532710276E-2</v>
      </c>
      <c r="R265" s="333">
        <v>1084</v>
      </c>
      <c r="S265" s="378">
        <f t="shared" si="8"/>
        <v>6.0245651086533653E-2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8</v>
      </c>
      <c r="Q266" s="378">
        <f t="shared" si="7"/>
        <v>7.476635514018691E-2</v>
      </c>
      <c r="R266" s="333">
        <v>1335</v>
      </c>
      <c r="S266" s="378">
        <f t="shared" si="8"/>
        <v>7.4195520480186739E-2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107</v>
      </c>
      <c r="Q268" s="378">
        <f>SUM(Q259:Q267)</f>
        <v>1</v>
      </c>
      <c r="R268" s="333">
        <f>SUM(R259:R267)</f>
        <v>17993</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260" t="s">
        <v>173</v>
      </c>
      <c r="C270" s="273"/>
      <c r="D270" s="273"/>
      <c r="E270" s="273"/>
      <c r="F270" s="273"/>
      <c r="G270" s="273"/>
      <c r="H270" s="275"/>
      <c r="I270" s="275"/>
      <c r="J270" s="275"/>
      <c r="K270" s="275"/>
      <c r="L270" s="275"/>
      <c r="M270" s="275"/>
      <c r="N270" s="275"/>
      <c r="O270" s="275"/>
      <c r="P270" s="271" t="s">
        <v>106</v>
      </c>
      <c r="Q270" s="261" t="s">
        <v>107</v>
      </c>
      <c r="R270" s="271" t="s">
        <v>115</v>
      </c>
      <c r="S270" s="261"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8" t="s">
        <v>174</v>
      </c>
      <c r="C282" s="279"/>
      <c r="D282" s="279"/>
      <c r="E282" s="279"/>
      <c r="F282" s="279"/>
      <c r="G282" s="279"/>
      <c r="H282" s="380"/>
      <c r="I282" s="380"/>
      <c r="J282" s="380"/>
      <c r="K282" s="380"/>
      <c r="L282" s="380"/>
      <c r="M282" s="380"/>
      <c r="N282" s="380"/>
      <c r="O282" s="380"/>
      <c r="P282" s="381">
        <f>P280+P268+P256</f>
        <v>3550</v>
      </c>
      <c r="Q282" s="378"/>
      <c r="R282" s="382">
        <f>+R280+R268+R256</f>
        <v>479074</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FEBRUARY 2011</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phoneticPr fontId="0" type="noConversion"/>
  <hyperlinks>
    <hyperlink ref="J9" r:id="rId1" xr:uid="{00000000-0004-0000-1400-000000000000}"/>
    <hyperlink ref="N232" r:id="rId2" xr:uid="{00000000-0004-0000-1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89CB31"/>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0.6583</v>
      </c>
      <c r="R16" s="222" t="s">
        <v>147</v>
      </c>
      <c r="S16" s="221">
        <v>0.3417</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40714</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257</v>
      </c>
      <c r="E27" s="384"/>
      <c r="F27" s="384" t="s">
        <v>150</v>
      </c>
      <c r="G27" s="384"/>
      <c r="H27" s="384" t="s">
        <v>150</v>
      </c>
      <c r="I27" s="384"/>
      <c r="J27" s="384" t="s">
        <v>175</v>
      </c>
      <c r="K27" s="384"/>
      <c r="L27" s="384" t="s">
        <v>175</v>
      </c>
      <c r="M27" s="384"/>
      <c r="N27" s="384" t="s">
        <v>151</v>
      </c>
      <c r="O27" s="384"/>
      <c r="P27" s="384" t="s">
        <v>151</v>
      </c>
      <c r="Q27" s="280"/>
      <c r="R27" s="287"/>
      <c r="S27" s="281"/>
      <c r="T27" s="281"/>
      <c r="U27" s="282"/>
      <c r="V27" s="5"/>
    </row>
    <row r="28" spans="1:22" x14ac:dyDescent="0.35">
      <c r="A28" s="278"/>
      <c r="B28" s="286" t="s">
        <v>225</v>
      </c>
      <c r="C28" s="280"/>
      <c r="D28" s="384" t="s">
        <v>258</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197405.22999999998</v>
      </c>
      <c r="E32" s="289"/>
      <c r="F32" s="290">
        <f>F31*F38</f>
        <v>105000</v>
      </c>
      <c r="G32" s="290"/>
      <c r="H32" s="295">
        <f>H31*H38</f>
        <v>222000</v>
      </c>
      <c r="I32" s="290"/>
      <c r="J32" s="290">
        <f>J31*J38</f>
        <v>30066.8256</v>
      </c>
      <c r="K32" s="290"/>
      <c r="L32" s="295">
        <f>L31*L38</f>
        <v>18913.003199999999</v>
      </c>
      <c r="M32" s="290"/>
      <c r="N32" s="296">
        <f>N31*N38</f>
        <v>49949.7264</v>
      </c>
      <c r="O32" s="290"/>
      <c r="P32" s="295">
        <f>P31*P38</f>
        <v>26672.184000000001</v>
      </c>
      <c r="Q32" s="290"/>
      <c r="R32" s="290"/>
      <c r="S32" s="291"/>
      <c r="T32" s="290"/>
      <c r="U32" s="292"/>
      <c r="V32" s="5"/>
    </row>
    <row r="33" spans="1:22" x14ac:dyDescent="0.35">
      <c r="A33" s="278"/>
      <c r="B33" s="286" t="s">
        <v>141</v>
      </c>
      <c r="C33" s="289"/>
      <c r="D33" s="299">
        <f>D37*D31</f>
        <v>195607.39</v>
      </c>
      <c r="E33" s="293"/>
      <c r="F33" s="297">
        <f>F37*F31</f>
        <v>105000</v>
      </c>
      <c r="G33" s="297"/>
      <c r="H33" s="300">
        <f>H31*H37</f>
        <v>222000</v>
      </c>
      <c r="I33" s="297"/>
      <c r="J33" s="297">
        <f>J31*J37</f>
        <v>29593.2448</v>
      </c>
      <c r="K33" s="297"/>
      <c r="L33" s="300">
        <f>L31*L37</f>
        <v>18615.105600000003</v>
      </c>
      <c r="M33" s="297"/>
      <c r="N33" s="297">
        <f>N31*N37</f>
        <v>49162.9712</v>
      </c>
      <c r="O33" s="297"/>
      <c r="P33" s="300">
        <f>P31*P37</f>
        <v>26252.072</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113256.0463928</v>
      </c>
      <c r="E35" s="289"/>
      <c r="F35" s="290">
        <f>F34*F38</f>
        <v>105000</v>
      </c>
      <c r="G35" s="290"/>
      <c r="H35" s="290">
        <f>H34*H38</f>
        <v>150000</v>
      </c>
      <c r="I35" s="290"/>
      <c r="J35" s="290">
        <f>J32</f>
        <v>30066.8256</v>
      </c>
      <c r="K35" s="290"/>
      <c r="L35" s="290">
        <f>L34*L38</f>
        <v>12779.370777600001</v>
      </c>
      <c r="M35" s="290"/>
      <c r="N35" s="290">
        <f>N32</f>
        <v>49949.7264</v>
      </c>
      <c r="O35" s="290"/>
      <c r="P35" s="290">
        <f>P34*P38</f>
        <v>18021.6673056</v>
      </c>
      <c r="Q35" s="290"/>
      <c r="R35" s="290"/>
      <c r="S35" s="291"/>
      <c r="T35" s="290">
        <f>SUM(C35:P35)</f>
        <v>479073.63647599996</v>
      </c>
      <c r="U35" s="292"/>
      <c r="V35" s="5"/>
    </row>
    <row r="36" spans="1:22" x14ac:dyDescent="0.35">
      <c r="A36" s="283"/>
      <c r="B36" s="286" t="s">
        <v>298</v>
      </c>
      <c r="C36" s="293"/>
      <c r="D36" s="297">
        <f>D37*D34</f>
        <v>112224.5830904</v>
      </c>
      <c r="E36" s="293"/>
      <c r="F36" s="297">
        <f>F37*F34</f>
        <v>105000</v>
      </c>
      <c r="G36" s="297"/>
      <c r="H36" s="297">
        <f>H37*H34</f>
        <v>150000</v>
      </c>
      <c r="I36" s="297"/>
      <c r="J36" s="297">
        <f>J37*J34</f>
        <v>29593.2448</v>
      </c>
      <c r="K36" s="297"/>
      <c r="L36" s="297">
        <f>L37*L34</f>
        <v>12578.083660800001</v>
      </c>
      <c r="M36" s="297"/>
      <c r="N36" s="297">
        <f>N37*N34</f>
        <v>49162.9712</v>
      </c>
      <c r="O36" s="297"/>
      <c r="P36" s="297">
        <f>P34*P37</f>
        <v>17737.809084799999</v>
      </c>
      <c r="Q36" s="322"/>
      <c r="R36" s="322"/>
      <c r="S36" s="291"/>
      <c r="T36" s="297">
        <f>SUM(C36:P36)</f>
        <v>476296.69183600001</v>
      </c>
      <c r="U36" s="292"/>
      <c r="V36" s="5"/>
    </row>
    <row r="37" spans="1:22" x14ac:dyDescent="0.35">
      <c r="A37" s="305"/>
      <c r="B37" s="306" t="s">
        <v>137</v>
      </c>
      <c r="C37" s="307"/>
      <c r="D37" s="308">
        <v>0.17782490000000001</v>
      </c>
      <c r="E37" s="309"/>
      <c r="F37" s="308">
        <v>1</v>
      </c>
      <c r="G37" s="308"/>
      <c r="H37" s="308">
        <v>1</v>
      </c>
      <c r="I37" s="308"/>
      <c r="J37" s="308">
        <v>0.95462080000000005</v>
      </c>
      <c r="K37" s="308"/>
      <c r="L37" s="308">
        <v>0.95462080000000005</v>
      </c>
      <c r="M37" s="308"/>
      <c r="N37" s="308">
        <v>0.95462080000000005</v>
      </c>
      <c r="O37" s="308"/>
      <c r="P37" s="308">
        <v>0.95462080000000005</v>
      </c>
      <c r="Q37" s="310"/>
      <c r="R37" s="310"/>
      <c r="S37" s="311"/>
      <c r="T37" s="311"/>
      <c r="U37" s="312"/>
      <c r="V37" s="5"/>
    </row>
    <row r="38" spans="1:22" x14ac:dyDescent="0.35">
      <c r="A38" s="305"/>
      <c r="B38" s="306" t="s">
        <v>138</v>
      </c>
      <c r="C38" s="307"/>
      <c r="D38" s="308">
        <v>0.17945929999999999</v>
      </c>
      <c r="E38" s="309"/>
      <c r="F38" s="308">
        <v>1</v>
      </c>
      <c r="G38" s="308"/>
      <c r="H38" s="308">
        <v>1</v>
      </c>
      <c r="I38" s="308"/>
      <c r="J38" s="308">
        <v>0.96989760000000003</v>
      </c>
      <c r="K38" s="308"/>
      <c r="L38" s="308">
        <v>0.96989760000000003</v>
      </c>
      <c r="M38" s="308"/>
      <c r="N38" s="308">
        <v>0.96989760000000003</v>
      </c>
      <c r="O38" s="308"/>
      <c r="P38" s="308">
        <v>0.96989760000000003</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2.8800000000000002E-3</v>
      </c>
      <c r="E40" s="279"/>
      <c r="F40" s="316">
        <v>1.12563E-2</v>
      </c>
      <c r="G40" s="315"/>
      <c r="H40" s="316">
        <v>1.4930000000000001E-2</v>
      </c>
      <c r="I40" s="315"/>
      <c r="J40" s="316">
        <v>1.3456299999999999E-2</v>
      </c>
      <c r="K40" s="315"/>
      <c r="L40" s="316">
        <v>1.7129999999999999E-2</v>
      </c>
      <c r="M40" s="315"/>
      <c r="N40" s="316">
        <v>1.9056300000000002E-2</v>
      </c>
      <c r="O40" s="315"/>
      <c r="P40" s="316">
        <v>2.273E-2</v>
      </c>
      <c r="Q40" s="315"/>
      <c r="R40" s="316"/>
      <c r="S40" s="281"/>
      <c r="T40" s="287"/>
      <c r="U40" s="282"/>
      <c r="V40" s="5"/>
    </row>
    <row r="41" spans="1:22" x14ac:dyDescent="0.35">
      <c r="A41" s="278"/>
      <c r="B41" s="279" t="s">
        <v>13</v>
      </c>
      <c r="C41" s="279"/>
      <c r="D41" s="316">
        <v>3.5574999999999999E-3</v>
      </c>
      <c r="E41" s="279"/>
      <c r="F41" s="316">
        <v>1.06938E-2</v>
      </c>
      <c r="G41" s="315"/>
      <c r="H41" s="316">
        <v>1.346E-2</v>
      </c>
      <c r="I41" s="315"/>
      <c r="J41" s="316">
        <v>1.28938E-2</v>
      </c>
      <c r="K41" s="315"/>
      <c r="L41" s="316">
        <v>1.566E-2</v>
      </c>
      <c r="M41" s="315"/>
      <c r="N41" s="316">
        <v>1.8493800000000001E-2</v>
      </c>
      <c r="O41" s="315"/>
      <c r="P41" s="316">
        <v>2.1260000000000001E-2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9.2119000000000003E-3</v>
      </c>
      <c r="E43" s="279"/>
      <c r="F43" s="316">
        <f>+F40</f>
        <v>1.12563E-2</v>
      </c>
      <c r="G43" s="315"/>
      <c r="H43" s="316">
        <v>1.1706299999999999E-2</v>
      </c>
      <c r="I43" s="315"/>
      <c r="J43" s="316">
        <f>+J40</f>
        <v>1.3456299999999999E-2</v>
      </c>
      <c r="K43" s="315"/>
      <c r="L43" s="316">
        <v>1.4186300000000001E-2</v>
      </c>
      <c r="M43" s="315"/>
      <c r="N43" s="316">
        <f>+N40</f>
        <v>1.9056300000000002E-2</v>
      </c>
      <c r="O43" s="315"/>
      <c r="P43" s="316">
        <v>2.02863E-2</v>
      </c>
      <c r="Q43" s="287"/>
      <c r="R43" s="287"/>
      <c r="S43" s="281"/>
      <c r="T43" s="315">
        <f>SUMPRODUCT(D43:P43,D35:P35)/T35</f>
        <v>1.2283059553626864E-2</v>
      </c>
      <c r="U43" s="282"/>
      <c r="V43" s="5"/>
    </row>
    <row r="44" spans="1:22" x14ac:dyDescent="0.35">
      <c r="A44" s="278"/>
      <c r="B44" s="279" t="s">
        <v>301</v>
      </c>
      <c r="C44" s="317"/>
      <c r="D44" s="316">
        <v>8.6493999999999998E-3</v>
      </c>
      <c r="E44" s="279"/>
      <c r="F44" s="316">
        <f>+F41</f>
        <v>1.06938E-2</v>
      </c>
      <c r="G44" s="315"/>
      <c r="H44" s="316">
        <v>1.1143800000000001E-2</v>
      </c>
      <c r="I44" s="315"/>
      <c r="J44" s="316">
        <f>+J41</f>
        <v>1.28938E-2</v>
      </c>
      <c r="K44" s="315"/>
      <c r="L44" s="316">
        <v>1.36238E-2</v>
      </c>
      <c r="M44" s="315"/>
      <c r="N44" s="316">
        <f>+N41</f>
        <v>1.8493800000000001E-2</v>
      </c>
      <c r="O44" s="315"/>
      <c r="P44" s="316">
        <v>1.97238E-2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0.29701744863510304</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40709</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90</v>
      </c>
      <c r="Q57" s="279"/>
      <c r="R57" s="327">
        <v>40527</v>
      </c>
      <c r="S57" s="328"/>
      <c r="T57" s="327">
        <v>40616</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40617</v>
      </c>
      <c r="S58" s="328"/>
      <c r="T58" s="327">
        <v>40708</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40695</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310</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479074</v>
      </c>
      <c r="M68" s="332"/>
      <c r="N68" s="332">
        <f>2777+99+29</f>
        <v>2905</v>
      </c>
      <c r="O68" s="332"/>
      <c r="P68" s="332">
        <f>99+29</f>
        <v>128</v>
      </c>
      <c r="Q68" s="332"/>
      <c r="R68" s="332">
        <v>0</v>
      </c>
      <c r="S68" s="332"/>
      <c r="T68" s="333">
        <f>+L68-N68+P68-R68</f>
        <v>476297</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479074</v>
      </c>
      <c r="M71" s="332"/>
      <c r="N71" s="332">
        <f>SUM(N68:N70)</f>
        <v>2905</v>
      </c>
      <c r="O71" s="332"/>
      <c r="P71" s="332">
        <f>SUM(P68:P70)</f>
        <v>128</v>
      </c>
      <c r="Q71" s="332"/>
      <c r="R71" s="332">
        <f>SUM(R68:R70)</f>
        <v>0</v>
      </c>
      <c r="S71" s="332"/>
      <c r="T71" s="332">
        <f>SUM(T68:T70)</f>
        <v>476297</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479074</v>
      </c>
      <c r="M84" s="332"/>
      <c r="N84" s="332"/>
      <c r="O84" s="332"/>
      <c r="P84" s="332"/>
      <c r="Q84" s="332"/>
      <c r="R84" s="332"/>
      <c r="S84" s="332"/>
      <c r="T84" s="332">
        <f>SUM(T71:T83)</f>
        <v>476297</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40694</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2905-148</f>
        <v>2757</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2405+1392-401-293+71</f>
        <v>3174</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25+22</f>
        <v>47</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49</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296</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2757</v>
      </c>
      <c r="S96" s="279"/>
      <c r="T96" s="332">
        <f>SUM(T88:T95)</f>
        <v>3566</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-27</v>
      </c>
      <c r="S97" s="279"/>
      <c r="T97" s="332">
        <v>27</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-232</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2730</v>
      </c>
      <c r="S100" s="279"/>
      <c r="T100" s="332">
        <f>T96+T98+T97+T99</f>
        <v>3361</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-184-188-6</f>
        <v>-378</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-139</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298-1003</f>
        <v>-705</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-298</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-46</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f>46-148</f>
        <v>-102</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-92</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f>92-332</f>
        <v>-240</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148</v>
      </c>
      <c r="S114" s="279"/>
      <c r="T114" s="333">
        <v>-148</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-183</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-1018</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-15</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-2</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-84</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-1031</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-474</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-201</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-787</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-284</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-2878</v>
      </c>
      <c r="S131" s="332"/>
      <c r="T131" s="332">
        <f>SUM(T101:T129)</f>
        <v>-3361</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MAY 2011</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148</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148</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-148</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f>-T99</f>
        <v>232</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476297</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476297</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+'Feb 11'!Q182</f>
        <v>42880</v>
      </c>
      <c r="R180" s="333">
        <f>+'Feb 11'!R182</f>
        <v>5971</v>
      </c>
      <c r="S180" s="279"/>
      <c r="T180" s="333">
        <f>Q180+R180</f>
        <v>48851</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84</v>
      </c>
      <c r="R181" s="332">
        <v>15</v>
      </c>
      <c r="S181" s="279"/>
      <c r="T181" s="333">
        <f>Q181+R181</f>
        <v>99</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42964</v>
      </c>
      <c r="R182" s="333">
        <f>R181+R180</f>
        <v>5986</v>
      </c>
      <c r="S182" s="279"/>
      <c r="T182" s="333">
        <f>Q182+R182</f>
        <v>48950</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111106.48000000001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2.8325024925224329</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1.54</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12.418918918918919</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7.7</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5.0903614457831328</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3.91</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MAY 2011</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40694</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2.615E-2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1.2283059553626864E-2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1.3866940446373136E-2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7.0156176290092969E-3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16.170000000000002</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6.0637813782421926E-3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0.1336</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1</v>
      </c>
      <c r="R215" s="241">
        <v>91</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103</v>
      </c>
      <c r="R216" s="358">
        <f>+R268</f>
        <v>16935</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148</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'Feb 11'!R222+R221</f>
        <v>4859</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2</v>
      </c>
      <c r="R228" s="358">
        <v>314</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5.0599999999999996</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3455</v>
      </c>
      <c r="Q235" s="378">
        <f t="shared" ref="Q235:Q242" si="2">P235/$P$244</f>
        <v>0.97819932049830127</v>
      </c>
      <c r="R235" s="237">
        <f t="shared" ref="R235:R242" si="3">+R247+R259+R271</f>
        <v>463792</v>
      </c>
      <c r="S235" s="378">
        <f t="shared" ref="S235:S242" si="4">R235/$R$244</f>
        <v>0.97374537316002407</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54</v>
      </c>
      <c r="Q236" s="378">
        <f t="shared" si="2"/>
        <v>1.5288788221970554E-2</v>
      </c>
      <c r="R236" s="333">
        <f t="shared" si="3"/>
        <v>9075</v>
      </c>
      <c r="S236" s="378">
        <f t="shared" si="4"/>
        <v>1.905323779070622E-2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6</v>
      </c>
      <c r="Q237" s="378">
        <f t="shared" si="2"/>
        <v>1.6987542468856172E-3</v>
      </c>
      <c r="R237" s="333">
        <f t="shared" si="3"/>
        <v>966</v>
      </c>
      <c r="S237" s="378">
        <f t="shared" si="4"/>
        <v>2.0281463036718687E-3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1</v>
      </c>
      <c r="Q238" s="378">
        <f t="shared" si="2"/>
        <v>2.8312570781426955E-4</v>
      </c>
      <c r="R238" s="333">
        <f t="shared" si="3"/>
        <v>103</v>
      </c>
      <c r="S238" s="378">
        <f t="shared" si="4"/>
        <v>2.1625162451159675E-4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2</v>
      </c>
      <c r="Q239" s="378">
        <f t="shared" si="2"/>
        <v>5.6625141562853911E-4</v>
      </c>
      <c r="R239" s="333">
        <f t="shared" si="3"/>
        <v>227</v>
      </c>
      <c r="S239" s="378">
        <f t="shared" si="4"/>
        <v>4.7659338605953849E-4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0</v>
      </c>
      <c r="Q240" s="378">
        <f t="shared" si="2"/>
        <v>0</v>
      </c>
      <c r="R240" s="333">
        <f t="shared" si="3"/>
        <v>0</v>
      </c>
      <c r="S240" s="378">
        <f t="shared" si="4"/>
        <v>0</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9</v>
      </c>
      <c r="Q241" s="378">
        <f t="shared" si="2"/>
        <v>2.5481313703284258E-3</v>
      </c>
      <c r="R241" s="333">
        <f t="shared" si="3"/>
        <v>1367</v>
      </c>
      <c r="S241" s="378">
        <f t="shared" si="4"/>
        <v>2.8700579680325513E-3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5</v>
      </c>
      <c r="Q242" s="378">
        <f t="shared" si="2"/>
        <v>1.4156285390713476E-3</v>
      </c>
      <c r="R242" s="333">
        <f t="shared" si="3"/>
        <v>767</v>
      </c>
      <c r="S242" s="383">
        <f t="shared" si="4"/>
        <v>1.6103397669941235E-3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3532</v>
      </c>
      <c r="Q244" s="378">
        <f>SUM(Q235:Q243)</f>
        <v>1</v>
      </c>
      <c r="R244" s="333">
        <f>SUM(R235:R243)</f>
        <v>476297</v>
      </c>
      <c r="S244" s="378">
        <f>SUM(S235:S243)</f>
        <v>0.99999999999999989</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3385</v>
      </c>
      <c r="Q247" s="244">
        <f t="shared" ref="Q247:Q254" si="5">P247/$P$256</f>
        <v>0.98716827063283752</v>
      </c>
      <c r="R247" s="237">
        <v>452378</v>
      </c>
      <c r="S247" s="244">
        <f t="shared" ref="S247:S254" si="6">R247/$R$256</f>
        <v>0.98479630443963584</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39</v>
      </c>
      <c r="Q248" s="378">
        <f t="shared" si="5"/>
        <v>1.1373578302712161E-2</v>
      </c>
      <c r="R248" s="333">
        <v>6090</v>
      </c>
      <c r="S248" s="378">
        <f t="shared" si="6"/>
        <v>1.3257518035884553E-2</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5</v>
      </c>
      <c r="Q249" s="378">
        <f t="shared" si="5"/>
        <v>1.4581510644502771E-3</v>
      </c>
      <c r="R249" s="333">
        <v>894</v>
      </c>
      <c r="S249" s="378">
        <f t="shared" si="6"/>
        <v>1.9461775244796044E-3</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3429</v>
      </c>
      <c r="Q256" s="378">
        <f>SUM(Q247:Q255)</f>
        <v>0.99999999999999989</v>
      </c>
      <c r="R256" s="333">
        <f>SUM(R247:R255)</f>
        <v>459362</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70</v>
      </c>
      <c r="Q259" s="244">
        <f t="shared" ref="Q259:Q266" si="7">P259/$P$268</f>
        <v>0.67961165048543692</v>
      </c>
      <c r="R259" s="237">
        <v>11414</v>
      </c>
      <c r="S259" s="244">
        <f t="shared" ref="S259:S266" si="8">R259/$R$268</f>
        <v>0.67398878063182754</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15</v>
      </c>
      <c r="Q260" s="378">
        <f t="shared" si="7"/>
        <v>0.14563106796116504</v>
      </c>
      <c r="R260" s="333">
        <v>2985</v>
      </c>
      <c r="S260" s="378">
        <f t="shared" si="8"/>
        <v>0.17626217891939769</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v>
      </c>
      <c r="Q261" s="378">
        <f t="shared" si="7"/>
        <v>9.7087378640776691E-3</v>
      </c>
      <c r="R261" s="333">
        <v>72</v>
      </c>
      <c r="S261" s="378">
        <f t="shared" si="8"/>
        <v>4.2515500442869792E-3</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1</v>
      </c>
      <c r="Q262" s="378">
        <f t="shared" si="7"/>
        <v>9.7087378640776691E-3</v>
      </c>
      <c r="R262" s="333">
        <v>103</v>
      </c>
      <c r="S262" s="378">
        <f t="shared" si="8"/>
        <v>6.082078535577207E-3</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2</v>
      </c>
      <c r="Q263" s="378">
        <f t="shared" si="7"/>
        <v>1.9417475728155338E-2</v>
      </c>
      <c r="R263" s="333">
        <v>227</v>
      </c>
      <c r="S263" s="378">
        <f t="shared" si="8"/>
        <v>1.3404192500738116E-2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0</v>
      </c>
      <c r="Q264" s="378">
        <f t="shared" si="7"/>
        <v>0</v>
      </c>
      <c r="R264" s="333">
        <v>0</v>
      </c>
      <c r="S264" s="378">
        <f t="shared" si="8"/>
        <v>0</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9</v>
      </c>
      <c r="Q265" s="378">
        <f t="shared" si="7"/>
        <v>8.7378640776699032E-2</v>
      </c>
      <c r="R265" s="333">
        <v>1367</v>
      </c>
      <c r="S265" s="378">
        <f t="shared" si="8"/>
        <v>8.0720401535281955E-2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5</v>
      </c>
      <c r="Q266" s="378">
        <f t="shared" si="7"/>
        <v>4.8543689320388349E-2</v>
      </c>
      <c r="R266" s="333">
        <v>767</v>
      </c>
      <c r="S266" s="378">
        <f t="shared" si="8"/>
        <v>4.5290817832890462E-2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103</v>
      </c>
      <c r="Q268" s="378">
        <f>SUM(Q259:Q267)</f>
        <v>1</v>
      </c>
      <c r="R268" s="333">
        <f>SUM(R259:R267)</f>
        <v>16935</v>
      </c>
      <c r="S268" s="378">
        <f>SUM(S259:S267)</f>
        <v>0.99999999999999989</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3532</v>
      </c>
      <c r="Q282" s="378"/>
      <c r="R282" s="382">
        <f>+R280+R268+R256</f>
        <v>476297</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MAY 2011</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phoneticPr fontId="0" type="noConversion"/>
  <hyperlinks>
    <hyperlink ref="J9" r:id="rId1" xr:uid="{00000000-0004-0000-1500-000000000000}"/>
    <hyperlink ref="N232" r:id="rId2" xr:uid="{00000000-0004-0000-1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2D2926"/>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0.6583</v>
      </c>
      <c r="R16" s="222" t="s">
        <v>147</v>
      </c>
      <c r="S16" s="221">
        <v>0.3417</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40807</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257</v>
      </c>
      <c r="E27" s="384"/>
      <c r="F27" s="384" t="s">
        <v>312</v>
      </c>
      <c r="G27" s="384"/>
      <c r="H27" s="384" t="s">
        <v>312</v>
      </c>
      <c r="I27" s="384"/>
      <c r="J27" s="384" t="s">
        <v>312</v>
      </c>
      <c r="K27" s="384"/>
      <c r="L27" s="384" t="s">
        <v>312</v>
      </c>
      <c r="M27" s="384"/>
      <c r="N27" s="384" t="s">
        <v>151</v>
      </c>
      <c r="O27" s="384"/>
      <c r="P27" s="384" t="s">
        <v>151</v>
      </c>
      <c r="Q27" s="280"/>
      <c r="R27" s="287"/>
      <c r="S27" s="281"/>
      <c r="T27" s="281"/>
      <c r="U27" s="282"/>
      <c r="V27" s="5"/>
    </row>
    <row r="28" spans="1:22" x14ac:dyDescent="0.35">
      <c r="A28" s="278"/>
      <c r="B28" s="286" t="s">
        <v>225</v>
      </c>
      <c r="C28" s="280"/>
      <c r="D28" s="384" t="s">
        <v>258</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195607.39</v>
      </c>
      <c r="E32" s="289"/>
      <c r="F32" s="290">
        <f>F31*F38</f>
        <v>105000</v>
      </c>
      <c r="G32" s="290"/>
      <c r="H32" s="295">
        <f>H31*H38</f>
        <v>222000</v>
      </c>
      <c r="I32" s="290"/>
      <c r="J32" s="290">
        <f>J31*J38</f>
        <v>29593.2448</v>
      </c>
      <c r="K32" s="290"/>
      <c r="L32" s="295">
        <f>L31*L38</f>
        <v>18615.105600000003</v>
      </c>
      <c r="M32" s="290"/>
      <c r="N32" s="296">
        <f>N31*N38</f>
        <v>49162.9712</v>
      </c>
      <c r="O32" s="290"/>
      <c r="P32" s="295">
        <f>P31*P38</f>
        <v>26252.072</v>
      </c>
      <c r="Q32" s="290"/>
      <c r="R32" s="290"/>
      <c r="S32" s="291"/>
      <c r="T32" s="290"/>
      <c r="U32" s="292"/>
      <c r="V32" s="5"/>
    </row>
    <row r="33" spans="1:22" x14ac:dyDescent="0.35">
      <c r="A33" s="278"/>
      <c r="B33" s="286" t="s">
        <v>141</v>
      </c>
      <c r="C33" s="289"/>
      <c r="D33" s="299">
        <f>D37*D31</f>
        <v>192661.81</v>
      </c>
      <c r="E33" s="293"/>
      <c r="F33" s="297">
        <f>F37*F31</f>
        <v>105000</v>
      </c>
      <c r="G33" s="297"/>
      <c r="H33" s="300">
        <f>H31*H37</f>
        <v>222000</v>
      </c>
      <c r="I33" s="297"/>
      <c r="J33" s="297">
        <f>J31*J37</f>
        <v>29457.061799999999</v>
      </c>
      <c r="K33" s="297"/>
      <c r="L33" s="300">
        <f>L31*L37</f>
        <v>18529.4421</v>
      </c>
      <c r="M33" s="297"/>
      <c r="N33" s="297">
        <f>N31*N37</f>
        <v>48936.731699999997</v>
      </c>
      <c r="O33" s="297"/>
      <c r="P33" s="300">
        <f>P31*P37</f>
        <v>26131.264499999997</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112224.5830904</v>
      </c>
      <c r="E35" s="289"/>
      <c r="F35" s="290">
        <f>F34*F38</f>
        <v>105000</v>
      </c>
      <c r="G35" s="290"/>
      <c r="H35" s="290">
        <f>H34*H38</f>
        <v>150000</v>
      </c>
      <c r="I35" s="290"/>
      <c r="J35" s="290">
        <f>J32</f>
        <v>29593.2448</v>
      </c>
      <c r="K35" s="290"/>
      <c r="L35" s="290">
        <f>L34*L38</f>
        <v>12578.083660800001</v>
      </c>
      <c r="M35" s="290"/>
      <c r="N35" s="290">
        <f>N32</f>
        <v>49162.9712</v>
      </c>
      <c r="O35" s="290"/>
      <c r="P35" s="290">
        <f>P34*P38</f>
        <v>17737.809084799999</v>
      </c>
      <c r="Q35" s="290"/>
      <c r="R35" s="290"/>
      <c r="S35" s="291"/>
      <c r="T35" s="290">
        <f>SUM(C35:P35)</f>
        <v>476296.69183600001</v>
      </c>
      <c r="U35" s="292"/>
      <c r="V35" s="5"/>
    </row>
    <row r="36" spans="1:22" x14ac:dyDescent="0.35">
      <c r="A36" s="283"/>
      <c r="B36" s="286" t="s">
        <v>298</v>
      </c>
      <c r="C36" s="293"/>
      <c r="D36" s="297">
        <f>D37*D34</f>
        <v>110534.6342216</v>
      </c>
      <c r="E36" s="293"/>
      <c r="F36" s="297">
        <f>F37*F34</f>
        <v>105000</v>
      </c>
      <c r="G36" s="297"/>
      <c r="H36" s="297">
        <f>H37*H34</f>
        <v>150000</v>
      </c>
      <c r="I36" s="297"/>
      <c r="J36" s="297">
        <f>J37*J34</f>
        <v>29457.061799999999</v>
      </c>
      <c r="K36" s="297"/>
      <c r="L36" s="297">
        <f>L37*L34</f>
        <v>12520.201492799999</v>
      </c>
      <c r="M36" s="297"/>
      <c r="N36" s="297">
        <f>N37*N34</f>
        <v>48936.731699999997</v>
      </c>
      <c r="O36" s="297"/>
      <c r="P36" s="297">
        <f>P34*P37</f>
        <v>17656.182751799999</v>
      </c>
      <c r="Q36" s="322"/>
      <c r="R36" s="322"/>
      <c r="S36" s="291"/>
      <c r="T36" s="297">
        <f>SUM(C36:P36)</f>
        <v>474104.81196620007</v>
      </c>
      <c r="U36" s="292"/>
      <c r="V36" s="5"/>
    </row>
    <row r="37" spans="1:22" x14ac:dyDescent="0.35">
      <c r="A37" s="305"/>
      <c r="B37" s="306" t="s">
        <v>137</v>
      </c>
      <c r="C37" s="307"/>
      <c r="D37" s="308">
        <v>0.1751471</v>
      </c>
      <c r="E37" s="309"/>
      <c r="F37" s="308">
        <v>1</v>
      </c>
      <c r="G37" s="308"/>
      <c r="H37" s="308">
        <v>1</v>
      </c>
      <c r="I37" s="308"/>
      <c r="J37" s="308">
        <v>0.95022779999999996</v>
      </c>
      <c r="K37" s="308"/>
      <c r="L37" s="308">
        <v>0.95022779999999996</v>
      </c>
      <c r="M37" s="308"/>
      <c r="N37" s="308">
        <v>0.95022779999999996</v>
      </c>
      <c r="O37" s="308"/>
      <c r="P37" s="308">
        <v>0.95022779999999996</v>
      </c>
      <c r="Q37" s="310"/>
      <c r="R37" s="310"/>
      <c r="S37" s="311"/>
      <c r="T37" s="311"/>
      <c r="U37" s="312"/>
      <c r="V37" s="5"/>
    </row>
    <row r="38" spans="1:22" x14ac:dyDescent="0.35">
      <c r="A38" s="305"/>
      <c r="B38" s="306" t="s">
        <v>138</v>
      </c>
      <c r="C38" s="307"/>
      <c r="D38" s="308">
        <v>0.17782490000000001</v>
      </c>
      <c r="E38" s="309"/>
      <c r="F38" s="308">
        <v>1</v>
      </c>
      <c r="G38" s="308"/>
      <c r="H38" s="308">
        <v>1</v>
      </c>
      <c r="I38" s="308"/>
      <c r="J38" s="308">
        <v>0.95462080000000005</v>
      </c>
      <c r="K38" s="308"/>
      <c r="L38" s="308">
        <v>0.95462080000000005</v>
      </c>
      <c r="M38" s="308"/>
      <c r="N38" s="308">
        <v>0.95462080000000005</v>
      </c>
      <c r="O38" s="308"/>
      <c r="P38" s="308">
        <v>0.95462080000000005</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2.9721999999999999E-3</v>
      </c>
      <c r="E40" s="279"/>
      <c r="F40" s="316">
        <v>1.14438E-2</v>
      </c>
      <c r="G40" s="315"/>
      <c r="H40" s="316">
        <v>1.7909999999999999E-2</v>
      </c>
      <c r="I40" s="315"/>
      <c r="J40" s="316">
        <v>1.3643799999999999E-2</v>
      </c>
      <c r="K40" s="315"/>
      <c r="L40" s="316">
        <v>2.0109999999999999E-2</v>
      </c>
      <c r="M40" s="315"/>
      <c r="N40" s="316">
        <v>1.9243799999999998E-2</v>
      </c>
      <c r="O40" s="315"/>
      <c r="P40" s="316">
        <v>2.571E-2</v>
      </c>
      <c r="Q40" s="315"/>
      <c r="R40" s="316"/>
      <c r="S40" s="281"/>
      <c r="T40" s="287"/>
      <c r="U40" s="282"/>
      <c r="V40" s="5"/>
    </row>
    <row r="41" spans="1:22" x14ac:dyDescent="0.35">
      <c r="A41" s="278"/>
      <c r="B41" s="279" t="s">
        <v>13</v>
      </c>
      <c r="C41" s="279"/>
      <c r="D41" s="316">
        <v>2.8800000000000002E-3</v>
      </c>
      <c r="E41" s="279"/>
      <c r="F41" s="316">
        <v>1.12563E-2</v>
      </c>
      <c r="G41" s="315"/>
      <c r="H41" s="316">
        <v>1.4930000000000001E-2</v>
      </c>
      <c r="I41" s="315"/>
      <c r="J41" s="316">
        <v>1.3456299999999999E-2</v>
      </c>
      <c r="K41" s="315"/>
      <c r="L41" s="316">
        <v>1.7129999999999999E-2</v>
      </c>
      <c r="M41" s="315"/>
      <c r="N41" s="316">
        <v>1.9056300000000002E-2</v>
      </c>
      <c r="O41" s="315"/>
      <c r="P41" s="316">
        <v>2.273E-2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9.3994000000000005E-3</v>
      </c>
      <c r="E43" s="279"/>
      <c r="F43" s="316">
        <f>+F40</f>
        <v>1.14438E-2</v>
      </c>
      <c r="G43" s="315"/>
      <c r="H43" s="316">
        <v>1.18938E-2</v>
      </c>
      <c r="I43" s="315"/>
      <c r="J43" s="316">
        <f>+J40</f>
        <v>1.3643799999999999E-2</v>
      </c>
      <c r="K43" s="315"/>
      <c r="L43" s="316">
        <v>1.4373800000000001E-2</v>
      </c>
      <c r="M43" s="315"/>
      <c r="N43" s="316">
        <f>+N40</f>
        <v>1.9243799999999998E-2</v>
      </c>
      <c r="O43" s="315"/>
      <c r="P43" s="316">
        <v>2.04738E-2</v>
      </c>
      <c r="Q43" s="287"/>
      <c r="R43" s="287"/>
      <c r="S43" s="281"/>
      <c r="T43" s="315">
        <f>SUMPRODUCT(D43:P43,D35:P35)/T35</f>
        <v>1.2459281706470498E-2</v>
      </c>
      <c r="U43" s="282"/>
      <c r="V43" s="5"/>
    </row>
    <row r="44" spans="1:22" x14ac:dyDescent="0.35">
      <c r="A44" s="278"/>
      <c r="B44" s="279" t="s">
        <v>301</v>
      </c>
      <c r="C44" s="317"/>
      <c r="D44" s="316">
        <v>9.2119000000000003E-3</v>
      </c>
      <c r="E44" s="279"/>
      <c r="F44" s="316">
        <f>+F41</f>
        <v>1.12563E-2</v>
      </c>
      <c r="G44" s="315"/>
      <c r="H44" s="316">
        <v>1.1706299999999999E-2</v>
      </c>
      <c r="I44" s="315"/>
      <c r="J44" s="316">
        <f>+J41</f>
        <v>1.3456299999999999E-2</v>
      </c>
      <c r="K44" s="315"/>
      <c r="L44" s="316">
        <v>1.4186300000000001E-2</v>
      </c>
      <c r="M44" s="315"/>
      <c r="N44" s="316">
        <f>+N41</f>
        <v>1.9056300000000002E-2</v>
      </c>
      <c r="O44" s="315"/>
      <c r="P44" s="316">
        <v>2.02863E-2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0.29701748502107989</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40801</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40617</v>
      </c>
      <c r="S57" s="328"/>
      <c r="T57" s="327">
        <v>40708</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40709</v>
      </c>
      <c r="S58" s="328"/>
      <c r="T58" s="327">
        <v>40800</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40787</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311</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476297</v>
      </c>
      <c r="M68" s="332"/>
      <c r="N68" s="332">
        <f>2192+153+36</f>
        <v>2381</v>
      </c>
      <c r="O68" s="332"/>
      <c r="P68" s="332">
        <f>153+36</f>
        <v>189</v>
      </c>
      <c r="Q68" s="332"/>
      <c r="R68" s="332">
        <v>0</v>
      </c>
      <c r="S68" s="332"/>
      <c r="T68" s="333">
        <f>+L68-N68+P68-R68</f>
        <v>474105</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476297</v>
      </c>
      <c r="M71" s="332"/>
      <c r="N71" s="332">
        <f>SUM(N68:N70)</f>
        <v>2381</v>
      </c>
      <c r="O71" s="332"/>
      <c r="P71" s="332">
        <f>SUM(P68:P70)</f>
        <v>189</v>
      </c>
      <c r="Q71" s="332"/>
      <c r="R71" s="332">
        <f>SUM(R68:R70)</f>
        <v>0</v>
      </c>
      <c r="S71" s="332"/>
      <c r="T71" s="332">
        <f>SUM(T68:T70)</f>
        <v>474105</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476297</v>
      </c>
      <c r="M84" s="332"/>
      <c r="N84" s="332"/>
      <c r="O84" s="332"/>
      <c r="P84" s="332"/>
      <c r="Q84" s="332"/>
      <c r="R84" s="332"/>
      <c r="S84" s="332"/>
      <c r="T84" s="332">
        <f>SUM(T71:T83)</f>
        <v>474105</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40786</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2381+84</f>
        <v>2465</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2450+1520-419-411+20</f>
        <v>3160</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14+21</f>
        <v>35</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12</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303</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2465</v>
      </c>
      <c r="S96" s="279"/>
      <c r="T96" s="332">
        <f>SUM(T88:T95)</f>
        <v>3510</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-8</v>
      </c>
      <c r="S97" s="279"/>
      <c r="T97" s="332">
        <v>8</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48</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2457</v>
      </c>
      <c r="S100" s="279"/>
      <c r="T100" s="332">
        <f>T96+T98+T97+T99</f>
        <v>3566</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-183-220-6</f>
        <v>-409</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f>-67-2</f>
        <v>-69</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-1019+303</f>
        <v>-716</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-303</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-46</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-101</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-92</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-238</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-84</v>
      </c>
      <c r="S114" s="279"/>
      <c r="T114" s="333">
        <v>84</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-182</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-1482</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-28</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-153</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-1690</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-136</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-58</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-226</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-82</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-2373</v>
      </c>
      <c r="S131" s="332"/>
      <c r="T131" s="332">
        <f>SUM(T101:T129)</f>
        <v>-3566</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AUGUST 2011</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-84</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-84</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84</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474105</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474105</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+'May 11'!Q182</f>
        <v>42964</v>
      </c>
      <c r="R180" s="333">
        <f>+'May 11'!R182</f>
        <v>5986</v>
      </c>
      <c r="S180" s="279"/>
      <c r="T180" s="333">
        <f>Q180+R180</f>
        <v>48950</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153</v>
      </c>
      <c r="R181" s="332">
        <v>0</v>
      </c>
      <c r="S181" s="279"/>
      <c r="T181" s="333">
        <f>Q181+R181</f>
        <v>153</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43117</v>
      </c>
      <c r="R182" s="333">
        <f>R181+R180</f>
        <v>5986</v>
      </c>
      <c r="S182" s="279"/>
      <c r="T182" s="333">
        <f>Q182+R182</f>
        <v>49103</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110953.48000000001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3.0274779195289501</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1.55</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14.054421768707483</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7.8</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5.8151515151515154</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3.94</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AUGUST 2011</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40786</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2.581E-2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1.2459281706470498E-2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1.3350718293529502E-2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7.4869251748383887E-3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15.91</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4.9989817277874939E-3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0.129</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4</v>
      </c>
      <c r="R215" s="241">
        <v>2059</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105</v>
      </c>
      <c r="R216" s="358">
        <f>+R268</f>
        <v>17176</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-84</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'May 11'!R222+R221</f>
        <v>4775</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2</v>
      </c>
      <c r="R228" s="358">
        <v>224</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13.96</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3457</v>
      </c>
      <c r="Q235" s="378">
        <f t="shared" ref="Q235:Q242" si="2">P235/$P$244</f>
        <v>0.98294000568666473</v>
      </c>
      <c r="R235" s="237">
        <f t="shared" ref="R235:R242" si="3">+R247+R259+R271</f>
        <v>465307</v>
      </c>
      <c r="S235" s="378">
        <f t="shared" ref="S235:S242" si="4">R235/$R$244</f>
        <v>0.98144292930890842</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37</v>
      </c>
      <c r="Q236" s="378">
        <f t="shared" si="2"/>
        <v>1.0520329826556724E-2</v>
      </c>
      <c r="R236" s="333">
        <f t="shared" si="3"/>
        <v>5284</v>
      </c>
      <c r="S236" s="378">
        <f t="shared" si="4"/>
        <v>1.1145210449162106E-2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6</v>
      </c>
      <c r="Q237" s="378">
        <f t="shared" si="2"/>
        <v>1.7059994313335229E-3</v>
      </c>
      <c r="R237" s="333">
        <f t="shared" si="3"/>
        <v>1090</v>
      </c>
      <c r="S237" s="378">
        <f t="shared" si="4"/>
        <v>2.299068771685597E-3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2</v>
      </c>
      <c r="Q238" s="378">
        <f t="shared" si="2"/>
        <v>5.6866647711117425E-4</v>
      </c>
      <c r="R238" s="333">
        <f t="shared" si="3"/>
        <v>289</v>
      </c>
      <c r="S238" s="378">
        <f t="shared" si="4"/>
        <v>6.0956961010746565E-4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2</v>
      </c>
      <c r="Q239" s="378">
        <f t="shared" si="2"/>
        <v>5.6866647711117425E-4</v>
      </c>
      <c r="R239" s="333">
        <f t="shared" si="3"/>
        <v>172</v>
      </c>
      <c r="S239" s="378">
        <f t="shared" si="4"/>
        <v>3.6278883369717679E-4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2</v>
      </c>
      <c r="Q240" s="378">
        <f t="shared" si="2"/>
        <v>5.6866647711117425E-4</v>
      </c>
      <c r="R240" s="333">
        <f t="shared" si="3"/>
        <v>278</v>
      </c>
      <c r="S240" s="378">
        <f t="shared" si="4"/>
        <v>5.8636799865008804E-4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6</v>
      </c>
      <c r="Q241" s="378">
        <f t="shared" si="2"/>
        <v>1.7059994313335229E-3</v>
      </c>
      <c r="R241" s="333">
        <f t="shared" si="3"/>
        <v>851</v>
      </c>
      <c r="S241" s="378">
        <f t="shared" si="4"/>
        <v>1.7949610318389387E-3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5</v>
      </c>
      <c r="Q242" s="378">
        <f t="shared" si="2"/>
        <v>1.4216661927779358E-3</v>
      </c>
      <c r="R242" s="333">
        <f t="shared" si="3"/>
        <v>834</v>
      </c>
      <c r="S242" s="383">
        <f t="shared" si="4"/>
        <v>1.7591039959502642E-3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3517</v>
      </c>
      <c r="Q244" s="378">
        <f>SUM(Q235:Q243)</f>
        <v>1</v>
      </c>
      <c r="R244" s="333">
        <f>SUM(R235:R243)</f>
        <v>474105</v>
      </c>
      <c r="S244" s="378">
        <f>SUM(S235:S243)</f>
        <v>1.0000000000000002</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3379</v>
      </c>
      <c r="Q247" s="244">
        <f t="shared" ref="Q247:Q254" si="5">P247/$P$256</f>
        <v>0.9903282532239156</v>
      </c>
      <c r="R247" s="237">
        <v>451828</v>
      </c>
      <c r="S247" s="244">
        <f t="shared" ref="S247:S254" si="6">R247/$R$256</f>
        <v>0.9888363400003064</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31</v>
      </c>
      <c r="Q248" s="378">
        <f t="shared" si="5"/>
        <v>9.0855803048065648E-3</v>
      </c>
      <c r="R248" s="333">
        <v>4463</v>
      </c>
      <c r="S248" s="378">
        <f t="shared" si="6"/>
        <v>9.7673818032998558E-3</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2</v>
      </c>
      <c r="Q249" s="378">
        <f t="shared" si="5"/>
        <v>5.8616647127784287E-4</v>
      </c>
      <c r="R249" s="333">
        <v>638</v>
      </c>
      <c r="S249" s="378">
        <f t="shared" si="6"/>
        <v>1.3962781963937504E-3</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3412</v>
      </c>
      <c r="Q256" s="378">
        <f>SUM(Q247:Q255)</f>
        <v>1</v>
      </c>
      <c r="R256" s="333">
        <f>SUM(R247:R255)</f>
        <v>456929</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78</v>
      </c>
      <c r="Q259" s="244">
        <f t="shared" ref="Q259:Q266" si="7">P259/$P$268</f>
        <v>0.74285714285714288</v>
      </c>
      <c r="R259" s="237">
        <v>13479</v>
      </c>
      <c r="S259" s="244">
        <f t="shared" ref="S259:S266" si="8">R259/$R$268</f>
        <v>0.78475780158360509</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6</v>
      </c>
      <c r="Q260" s="378">
        <f t="shared" si="7"/>
        <v>5.7142857142857141E-2</v>
      </c>
      <c r="R260" s="333">
        <v>821</v>
      </c>
      <c r="S260" s="378">
        <f t="shared" si="8"/>
        <v>4.7799254774103399E-2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4</v>
      </c>
      <c r="Q261" s="378">
        <f t="shared" si="7"/>
        <v>3.8095238095238099E-2</v>
      </c>
      <c r="R261" s="333">
        <v>452</v>
      </c>
      <c r="S261" s="378">
        <f t="shared" si="8"/>
        <v>2.6315789473684209E-2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2</v>
      </c>
      <c r="Q262" s="378">
        <f t="shared" si="7"/>
        <v>1.9047619047619049E-2</v>
      </c>
      <c r="R262" s="333">
        <v>289</v>
      </c>
      <c r="S262" s="378">
        <f t="shared" si="8"/>
        <v>1.6825803446669771E-2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2</v>
      </c>
      <c r="Q263" s="378">
        <f t="shared" si="7"/>
        <v>1.9047619047619049E-2</v>
      </c>
      <c r="R263" s="333">
        <v>172</v>
      </c>
      <c r="S263" s="378">
        <f t="shared" si="8"/>
        <v>1.0013972985561248E-2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2</v>
      </c>
      <c r="Q264" s="378">
        <f t="shared" si="7"/>
        <v>1.9047619047619049E-2</v>
      </c>
      <c r="R264" s="333">
        <v>278</v>
      </c>
      <c r="S264" s="378">
        <f t="shared" si="8"/>
        <v>1.6185374941779226E-2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6</v>
      </c>
      <c r="Q265" s="378">
        <f t="shared" si="7"/>
        <v>5.7142857142857141E-2</v>
      </c>
      <c r="R265" s="333">
        <v>851</v>
      </c>
      <c r="S265" s="378">
        <f t="shared" si="8"/>
        <v>4.9545877969259432E-2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5</v>
      </c>
      <c r="Q266" s="378">
        <f t="shared" si="7"/>
        <v>4.7619047619047616E-2</v>
      </c>
      <c r="R266" s="333">
        <v>834</v>
      </c>
      <c r="S266" s="378">
        <f t="shared" si="8"/>
        <v>4.8556124825337679E-2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105</v>
      </c>
      <c r="Q268" s="378">
        <f>SUM(Q259:Q267)</f>
        <v>1.0000000000000002</v>
      </c>
      <c r="R268" s="333">
        <f>SUM(R259:R267)</f>
        <v>17176</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3517</v>
      </c>
      <c r="Q282" s="378"/>
      <c r="R282" s="382">
        <f>+R280+R268+R256</f>
        <v>474105</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AUGUST 2011</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phoneticPr fontId="0" type="noConversion"/>
  <hyperlinks>
    <hyperlink ref="J9" r:id="rId1" xr:uid="{00000000-0004-0000-1600-000000000000}"/>
    <hyperlink ref="N232" r:id="rId2" xr:uid="{00000000-0004-0000-1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89CB31"/>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0.65880000000000005</v>
      </c>
      <c r="R16" s="222" t="s">
        <v>147</v>
      </c>
      <c r="S16" s="221">
        <v>0.3412</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40896</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257</v>
      </c>
      <c r="E27" s="384"/>
      <c r="F27" s="384" t="s">
        <v>312</v>
      </c>
      <c r="G27" s="384"/>
      <c r="H27" s="384" t="s">
        <v>312</v>
      </c>
      <c r="I27" s="384"/>
      <c r="J27" s="384" t="s">
        <v>312</v>
      </c>
      <c r="K27" s="384"/>
      <c r="L27" s="384" t="s">
        <v>312</v>
      </c>
      <c r="M27" s="384"/>
      <c r="N27" s="384" t="s">
        <v>151</v>
      </c>
      <c r="O27" s="384"/>
      <c r="P27" s="384" t="s">
        <v>151</v>
      </c>
      <c r="Q27" s="280"/>
      <c r="R27" s="287"/>
      <c r="S27" s="281"/>
      <c r="T27" s="281"/>
      <c r="U27" s="282"/>
      <c r="V27" s="5"/>
    </row>
    <row r="28" spans="1:22" x14ac:dyDescent="0.35">
      <c r="A28" s="278"/>
      <c r="B28" s="286" t="s">
        <v>225</v>
      </c>
      <c r="C28" s="280"/>
      <c r="D28" s="384" t="s">
        <v>258</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192661.81</v>
      </c>
      <c r="E32" s="289"/>
      <c r="F32" s="290">
        <f>F31*F38</f>
        <v>105000</v>
      </c>
      <c r="G32" s="290"/>
      <c r="H32" s="295">
        <f>H31*H38</f>
        <v>222000</v>
      </c>
      <c r="I32" s="290"/>
      <c r="J32" s="290">
        <f>J31*J38</f>
        <v>29457.061799999999</v>
      </c>
      <c r="K32" s="290"/>
      <c r="L32" s="295">
        <f>L31*L38</f>
        <v>18529.4421</v>
      </c>
      <c r="M32" s="290"/>
      <c r="N32" s="296">
        <f>N31*N38</f>
        <v>48936.731699999997</v>
      </c>
      <c r="O32" s="290"/>
      <c r="P32" s="295">
        <f>P31*P38</f>
        <v>26131.264499999997</v>
      </c>
      <c r="Q32" s="290"/>
      <c r="R32" s="290"/>
      <c r="S32" s="291"/>
      <c r="T32" s="290"/>
      <c r="U32" s="292"/>
      <c r="V32" s="5"/>
    </row>
    <row r="33" spans="1:22" x14ac:dyDescent="0.35">
      <c r="A33" s="278"/>
      <c r="B33" s="286" t="s">
        <v>141</v>
      </c>
      <c r="C33" s="289"/>
      <c r="D33" s="299">
        <f>D37*D31</f>
        <v>187469.04</v>
      </c>
      <c r="E33" s="293"/>
      <c r="F33" s="297">
        <f>F37*F31</f>
        <v>105000</v>
      </c>
      <c r="G33" s="297"/>
      <c r="H33" s="300">
        <f>H31*H37</f>
        <v>222000</v>
      </c>
      <c r="I33" s="297"/>
      <c r="J33" s="297">
        <f>J31*J37</f>
        <v>29216.979199999998</v>
      </c>
      <c r="K33" s="297"/>
      <c r="L33" s="300">
        <f>L31*L37</f>
        <v>18378.422399999999</v>
      </c>
      <c r="M33" s="297"/>
      <c r="N33" s="297">
        <f>N31*N37</f>
        <v>48537.8848</v>
      </c>
      <c r="O33" s="297"/>
      <c r="P33" s="300">
        <f>P31*P37</f>
        <v>25918.288</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110534.6342216</v>
      </c>
      <c r="E35" s="289"/>
      <c r="F35" s="290">
        <f>F34*F38</f>
        <v>105000</v>
      </c>
      <c r="G35" s="290"/>
      <c r="H35" s="290">
        <f>H34*H38</f>
        <v>150000</v>
      </c>
      <c r="I35" s="290"/>
      <c r="J35" s="290">
        <f>J32</f>
        <v>29457.061799999999</v>
      </c>
      <c r="K35" s="290"/>
      <c r="L35" s="290">
        <f>L34*L38</f>
        <v>12520.201492799999</v>
      </c>
      <c r="M35" s="290"/>
      <c r="N35" s="290">
        <f>N32</f>
        <v>48936.731699999997</v>
      </c>
      <c r="O35" s="290"/>
      <c r="P35" s="290">
        <f>P34*P38</f>
        <v>17656.182751799999</v>
      </c>
      <c r="Q35" s="290"/>
      <c r="R35" s="290"/>
      <c r="S35" s="291"/>
      <c r="T35" s="290">
        <f>SUM(C35:P35)</f>
        <v>474104.81196620007</v>
      </c>
      <c r="U35" s="292"/>
      <c r="V35" s="5"/>
    </row>
    <row r="36" spans="1:22" x14ac:dyDescent="0.35">
      <c r="A36" s="283"/>
      <c r="B36" s="286" t="s">
        <v>298</v>
      </c>
      <c r="C36" s="293"/>
      <c r="D36" s="297">
        <f>D37*D34</f>
        <v>107555.41933440001</v>
      </c>
      <c r="E36" s="293"/>
      <c r="F36" s="297">
        <f>F37*F34</f>
        <v>105000</v>
      </c>
      <c r="G36" s="297"/>
      <c r="H36" s="297">
        <f>H37*H34</f>
        <v>150000</v>
      </c>
      <c r="I36" s="297"/>
      <c r="J36" s="297">
        <f>J37*J34</f>
        <v>29216.979199999998</v>
      </c>
      <c r="K36" s="297"/>
      <c r="L36" s="297">
        <f>L37*L34</f>
        <v>12418.1586432</v>
      </c>
      <c r="M36" s="297"/>
      <c r="N36" s="297">
        <f>N37*N34</f>
        <v>48537.8848</v>
      </c>
      <c r="O36" s="297"/>
      <c r="P36" s="297">
        <f>P34*P37</f>
        <v>17512.280339199999</v>
      </c>
      <c r="Q36" s="322"/>
      <c r="R36" s="322"/>
      <c r="S36" s="291"/>
      <c r="T36" s="297">
        <f>SUM(C36:P36)</f>
        <v>470240.72231679998</v>
      </c>
      <c r="U36" s="292"/>
      <c r="V36" s="5"/>
    </row>
    <row r="37" spans="1:22" x14ac:dyDescent="0.35">
      <c r="A37" s="305"/>
      <c r="B37" s="306" t="s">
        <v>137</v>
      </c>
      <c r="C37" s="307"/>
      <c r="D37" s="308">
        <v>0.17042640000000001</v>
      </c>
      <c r="E37" s="309"/>
      <c r="F37" s="308">
        <v>1</v>
      </c>
      <c r="G37" s="308"/>
      <c r="H37" s="308">
        <v>1</v>
      </c>
      <c r="I37" s="308"/>
      <c r="J37" s="308">
        <v>0.94248319999999997</v>
      </c>
      <c r="K37" s="308"/>
      <c r="L37" s="308">
        <v>0.94248319999999997</v>
      </c>
      <c r="M37" s="308"/>
      <c r="N37" s="308">
        <v>0.94248319999999997</v>
      </c>
      <c r="O37" s="308"/>
      <c r="P37" s="308">
        <v>0.94248319999999997</v>
      </c>
      <c r="Q37" s="310"/>
      <c r="R37" s="310"/>
      <c r="S37" s="311"/>
      <c r="T37" s="311"/>
      <c r="U37" s="312"/>
      <c r="V37" s="5"/>
    </row>
    <row r="38" spans="1:22" x14ac:dyDescent="0.35">
      <c r="A38" s="305"/>
      <c r="B38" s="306" t="s">
        <v>138</v>
      </c>
      <c r="C38" s="307"/>
      <c r="D38" s="308">
        <v>0.1751471</v>
      </c>
      <c r="E38" s="309"/>
      <c r="F38" s="308">
        <v>1</v>
      </c>
      <c r="G38" s="308"/>
      <c r="H38" s="308">
        <v>1</v>
      </c>
      <c r="I38" s="308"/>
      <c r="J38" s="308">
        <v>0.95022779999999996</v>
      </c>
      <c r="K38" s="308"/>
      <c r="L38" s="308">
        <v>0.95022779999999996</v>
      </c>
      <c r="M38" s="308"/>
      <c r="N38" s="308">
        <v>0.95022779999999996</v>
      </c>
      <c r="O38" s="308"/>
      <c r="P38" s="308">
        <v>0.95022779999999996</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3.3899999999999998E-3</v>
      </c>
      <c r="E40" s="279"/>
      <c r="F40" s="316">
        <v>1.23781E-2</v>
      </c>
      <c r="G40" s="315"/>
      <c r="H40" s="316">
        <v>1.848E-2</v>
      </c>
      <c r="I40" s="315"/>
      <c r="J40" s="316">
        <v>1.45781E-2</v>
      </c>
      <c r="K40" s="315"/>
      <c r="L40" s="316">
        <v>2.068E-2</v>
      </c>
      <c r="M40" s="315"/>
      <c r="N40" s="316">
        <v>2.0178100000000001E-2</v>
      </c>
      <c r="O40" s="315"/>
      <c r="P40" s="316">
        <v>2.6280000000000001E-2</v>
      </c>
      <c r="Q40" s="315"/>
      <c r="R40" s="316"/>
      <c r="S40" s="281"/>
      <c r="T40" s="287"/>
      <c r="U40" s="282"/>
      <c r="V40" s="5"/>
    </row>
    <row r="41" spans="1:22" x14ac:dyDescent="0.35">
      <c r="A41" s="278"/>
      <c r="B41" s="279" t="s">
        <v>13</v>
      </c>
      <c r="C41" s="279"/>
      <c r="D41" s="316">
        <v>2.9721999999999999E-3</v>
      </c>
      <c r="E41" s="279"/>
      <c r="F41" s="316">
        <v>1.14438E-2</v>
      </c>
      <c r="G41" s="315"/>
      <c r="H41" s="316">
        <v>1.7909999999999999E-2</v>
      </c>
      <c r="I41" s="315"/>
      <c r="J41" s="316">
        <v>1.3643799999999999E-2</v>
      </c>
      <c r="K41" s="315"/>
      <c r="L41" s="316">
        <v>2.0109999999999999E-2</v>
      </c>
      <c r="M41" s="315"/>
      <c r="N41" s="316">
        <v>1.9243799999999998E-2</v>
      </c>
      <c r="O41" s="315"/>
      <c r="P41" s="316">
        <v>2.571E-2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1.0333699999999999E-2</v>
      </c>
      <c r="E43" s="279"/>
      <c r="F43" s="316">
        <f>+F40</f>
        <v>1.23781E-2</v>
      </c>
      <c r="G43" s="315"/>
      <c r="H43" s="316">
        <v>1.28281E-2</v>
      </c>
      <c r="I43" s="315"/>
      <c r="J43" s="316">
        <f>+J40</f>
        <v>1.45781E-2</v>
      </c>
      <c r="K43" s="315"/>
      <c r="L43" s="316">
        <v>1.53081E-2</v>
      </c>
      <c r="M43" s="315"/>
      <c r="N43" s="316">
        <f>+N40</f>
        <v>2.0178100000000001E-2</v>
      </c>
      <c r="O43" s="315"/>
      <c r="P43" s="316">
        <v>2.1408099999999999E-2</v>
      </c>
      <c r="Q43" s="287"/>
      <c r="R43" s="287"/>
      <c r="S43" s="281"/>
      <c r="T43" s="315">
        <f>SUMPRODUCT(D43:P43,D35:P35)/T35</f>
        <v>1.3399297307895146E-2</v>
      </c>
      <c r="U43" s="282"/>
      <c r="V43" s="5"/>
    </row>
    <row r="44" spans="1:22" x14ac:dyDescent="0.35">
      <c r="A44" s="278"/>
      <c r="B44" s="279" t="s">
        <v>301</v>
      </c>
      <c r="C44" s="317"/>
      <c r="D44" s="316">
        <v>9.3994000000000005E-3</v>
      </c>
      <c r="E44" s="279"/>
      <c r="F44" s="316">
        <f>+F41</f>
        <v>1.14438E-2</v>
      </c>
      <c r="G44" s="315"/>
      <c r="H44" s="316">
        <v>1.18938E-2</v>
      </c>
      <c r="I44" s="315"/>
      <c r="J44" s="316">
        <f>+J41</f>
        <v>1.3643799999999999E-2</v>
      </c>
      <c r="K44" s="315"/>
      <c r="L44" s="316">
        <v>1.4373800000000001E-2</v>
      </c>
      <c r="M44" s="315"/>
      <c r="N44" s="316">
        <f>+N41</f>
        <v>1.9243799999999998E-2</v>
      </c>
      <c r="O44" s="315"/>
      <c r="P44" s="316">
        <v>2.04738E-2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0.29701749647018061</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40892</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40709</v>
      </c>
      <c r="S57" s="328"/>
      <c r="T57" s="327">
        <v>40800</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40801</v>
      </c>
      <c r="S58" s="328"/>
      <c r="T58" s="327">
        <v>40891</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40878</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313</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474105</v>
      </c>
      <c r="M68" s="332"/>
      <c r="N68" s="332">
        <f>3864+307+11</f>
        <v>4182</v>
      </c>
      <c r="O68" s="332"/>
      <c r="P68" s="332">
        <f>307+11</f>
        <v>318</v>
      </c>
      <c r="Q68" s="332"/>
      <c r="R68" s="332">
        <v>0</v>
      </c>
      <c r="S68" s="332"/>
      <c r="T68" s="333">
        <f>+L68-N68+P68-R68</f>
        <v>470241</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474105</v>
      </c>
      <c r="M71" s="332"/>
      <c r="N71" s="332">
        <f>SUM(N68:N70)</f>
        <v>4182</v>
      </c>
      <c r="O71" s="332"/>
      <c r="P71" s="332">
        <f>SUM(P68:P70)</f>
        <v>318</v>
      </c>
      <c r="Q71" s="332"/>
      <c r="R71" s="332">
        <f>SUM(R68:R70)</f>
        <v>0</v>
      </c>
      <c r="S71" s="332"/>
      <c r="T71" s="332">
        <f>SUM(T68:T70)</f>
        <v>470241</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474105</v>
      </c>
      <c r="M84" s="332"/>
      <c r="N84" s="332"/>
      <c r="O84" s="332"/>
      <c r="P84" s="332"/>
      <c r="Q84" s="332"/>
      <c r="R84" s="332"/>
      <c r="S84" s="332"/>
      <c r="T84" s="332">
        <f>SUM(T71:T83)</f>
        <v>470241</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40877</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4182+43</f>
        <v>4225</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3900+1405-1792-266</f>
        <v>3247</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2+21</f>
        <v>23</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25</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343</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4225</v>
      </c>
      <c r="S96" s="279"/>
      <c r="T96" s="332">
        <f>SUM(T88:T95)</f>
        <v>3638</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-4</v>
      </c>
      <c r="S97" s="279"/>
      <c r="T97" s="332">
        <v>4</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6</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4221</v>
      </c>
      <c r="S100" s="279"/>
      <c r="T100" s="332">
        <f>T96+T98+T97+T99</f>
        <v>3648</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-180-147-6</f>
        <v>-333</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-65</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-285-480</f>
        <v>-765</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-324</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-48</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-107</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-94</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-246</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-43</v>
      </c>
      <c r="S114" s="279"/>
      <c r="T114" s="333">
        <v>43</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-180</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-1517</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-7</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-7</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-300</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-2979</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-240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-102</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-399</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-144</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-4178</v>
      </c>
      <c r="S131" s="332"/>
      <c r="T131" s="332">
        <f>SUM(T101:T129)</f>
        <v>-3648</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NOVEMBER 2011</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-43</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-43</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43</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470241</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470241</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+'August 11'!Q182</f>
        <v>43117</v>
      </c>
      <c r="R180" s="333">
        <f>+'August 11'!R182</f>
        <v>5986</v>
      </c>
      <c r="S180" s="279"/>
      <c r="T180" s="333">
        <f>Q180+R180</f>
        <v>49103</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300</v>
      </c>
      <c r="R181" s="332">
        <v>7</v>
      </c>
      <c r="S181" s="279"/>
      <c r="T181" s="333">
        <f>Q181+R181</f>
        <v>307</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43417</v>
      </c>
      <c r="R182" s="333">
        <f>R181+R180</f>
        <v>5993</v>
      </c>
      <c r="S182" s="279"/>
      <c r="T182" s="333">
        <f>Q182+R182</f>
        <v>49410</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110646.48000000001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2.9816345270890725</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1.56</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13.92258064516129</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7.89</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5.8911764705882357</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3.98</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NOVEMBER 2011</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40877</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2.6630000000000001E-2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1.3399297307895146E-2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1.3230702692104855E-2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7.6944980542284934E-3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15.7</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8.8208308286139153E-3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0.12529999999999999</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10</v>
      </c>
      <c r="R215" s="241">
        <v>2131</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117</v>
      </c>
      <c r="R216" s="358">
        <f>+R268</f>
        <v>18930</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-43</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'August 11'!R222+R221</f>
        <v>4732</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3</v>
      </c>
      <c r="R228" s="358">
        <v>343</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3.75</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3449</v>
      </c>
      <c r="Q235" s="378">
        <f t="shared" ref="Q235:Q242" si="2">P235/$P$244</f>
        <v>0.98599199542595772</v>
      </c>
      <c r="R235" s="237">
        <f t="shared" ref="R235:R242" si="3">+R247+R259+R271</f>
        <v>461507</v>
      </c>
      <c r="S235" s="378">
        <f t="shared" ref="S235:S242" si="4">R235/$R$244</f>
        <v>0.98142654511197447</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16</v>
      </c>
      <c r="Q236" s="378">
        <f t="shared" si="2"/>
        <v>4.5740423098913664E-3</v>
      </c>
      <c r="R236" s="333">
        <f t="shared" si="3"/>
        <v>3882</v>
      </c>
      <c r="S236" s="378">
        <f t="shared" si="4"/>
        <v>8.2553414100429347E-3</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14</v>
      </c>
      <c r="Q237" s="378">
        <f t="shared" si="2"/>
        <v>4.0022870211549461E-3</v>
      </c>
      <c r="R237" s="333">
        <f t="shared" si="3"/>
        <v>1934</v>
      </c>
      <c r="S237" s="378">
        <f t="shared" si="4"/>
        <v>4.1127847210260275E-3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4</v>
      </c>
      <c r="Q238" s="378">
        <f t="shared" si="2"/>
        <v>1.1435105774728416E-3</v>
      </c>
      <c r="R238" s="333">
        <f t="shared" si="3"/>
        <v>572</v>
      </c>
      <c r="S238" s="378">
        <f t="shared" si="4"/>
        <v>1.2163975493417205E-3</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3</v>
      </c>
      <c r="Q239" s="378">
        <f t="shared" si="2"/>
        <v>8.576329331046312E-4</v>
      </c>
      <c r="R239" s="333">
        <f t="shared" si="3"/>
        <v>461</v>
      </c>
      <c r="S239" s="378">
        <f t="shared" si="4"/>
        <v>9.8034837455687621E-4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2</v>
      </c>
      <c r="Q240" s="378">
        <f t="shared" si="2"/>
        <v>5.717552887364208E-4</v>
      </c>
      <c r="R240" s="333">
        <f t="shared" si="3"/>
        <v>312</v>
      </c>
      <c r="S240" s="378">
        <f t="shared" si="4"/>
        <v>6.6348957236821117E-4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6</v>
      </c>
      <c r="Q241" s="378">
        <f t="shared" si="2"/>
        <v>1.7152658662092624E-3</v>
      </c>
      <c r="R241" s="333">
        <f t="shared" si="3"/>
        <v>956</v>
      </c>
      <c r="S241" s="378">
        <f t="shared" si="4"/>
        <v>2.0330000999487499E-3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4</v>
      </c>
      <c r="Q242" s="378">
        <f t="shared" si="2"/>
        <v>1.1435105774728416E-3</v>
      </c>
      <c r="R242" s="333">
        <f t="shared" si="3"/>
        <v>617</v>
      </c>
      <c r="S242" s="383">
        <f t="shared" si="4"/>
        <v>1.3120931607409818E-3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3498</v>
      </c>
      <c r="Q244" s="378">
        <f>SUM(Q235:Q243)</f>
        <v>1</v>
      </c>
      <c r="R244" s="333">
        <f>SUM(R235:R243)</f>
        <v>470241</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3365</v>
      </c>
      <c r="Q247" s="244">
        <f t="shared" ref="Q247:Q254" si="5">P247/$P$256</f>
        <v>0.99526767228630586</v>
      </c>
      <c r="R247" s="237">
        <v>447397</v>
      </c>
      <c r="S247" s="244">
        <f t="shared" ref="S247:S254" si="6">R247/$R$256</f>
        <v>0.9913274881401074</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13</v>
      </c>
      <c r="Q248" s="378">
        <f t="shared" si="5"/>
        <v>3.845016267376516E-3</v>
      </c>
      <c r="R248" s="333">
        <v>3534</v>
      </c>
      <c r="S248" s="378">
        <f t="shared" si="6"/>
        <v>7.8305204171846016E-3</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3</v>
      </c>
      <c r="Q249" s="378">
        <f t="shared" si="5"/>
        <v>8.8731144631765753E-4</v>
      </c>
      <c r="R249" s="333">
        <v>380</v>
      </c>
      <c r="S249" s="378">
        <f t="shared" si="6"/>
        <v>8.4199144270802177E-4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3381</v>
      </c>
      <c r="Q256" s="378">
        <f>SUM(Q247:Q255)</f>
        <v>1</v>
      </c>
      <c r="R256" s="333">
        <f>SUM(R247:R255)</f>
        <v>451311</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84</v>
      </c>
      <c r="Q259" s="244">
        <f t="shared" ref="Q259:Q266" si="7">P259/$P$268</f>
        <v>0.71794871794871795</v>
      </c>
      <c r="R259" s="237">
        <v>14110</v>
      </c>
      <c r="S259" s="244">
        <f t="shared" ref="S259:S266" si="8">R259/$R$268</f>
        <v>0.74537770734284203</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3</v>
      </c>
      <c r="Q260" s="378">
        <f t="shared" si="7"/>
        <v>2.564102564102564E-2</v>
      </c>
      <c r="R260" s="333">
        <v>348</v>
      </c>
      <c r="S260" s="378">
        <f t="shared" si="8"/>
        <v>1.838351822503962E-2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11</v>
      </c>
      <c r="Q261" s="378">
        <f t="shared" si="7"/>
        <v>9.4017094017094016E-2</v>
      </c>
      <c r="R261" s="333">
        <v>1554</v>
      </c>
      <c r="S261" s="378">
        <f t="shared" si="8"/>
        <v>8.2091917591125205E-2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4</v>
      </c>
      <c r="Q262" s="378">
        <f t="shared" si="7"/>
        <v>3.4188034188034191E-2</v>
      </c>
      <c r="R262" s="333">
        <v>572</v>
      </c>
      <c r="S262" s="378">
        <f t="shared" si="8"/>
        <v>3.0216587427363974E-2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3</v>
      </c>
      <c r="Q263" s="378">
        <f t="shared" si="7"/>
        <v>2.564102564102564E-2</v>
      </c>
      <c r="R263" s="333">
        <v>461</v>
      </c>
      <c r="S263" s="378">
        <f t="shared" si="8"/>
        <v>2.4352879027997886E-2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2</v>
      </c>
      <c r="Q264" s="378">
        <f t="shared" si="7"/>
        <v>1.7094017094017096E-2</v>
      </c>
      <c r="R264" s="333">
        <v>312</v>
      </c>
      <c r="S264" s="378">
        <f t="shared" si="8"/>
        <v>1.6481774960380349E-2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6</v>
      </c>
      <c r="Q265" s="378">
        <f t="shared" si="7"/>
        <v>5.128205128205128E-2</v>
      </c>
      <c r="R265" s="333">
        <v>956</v>
      </c>
      <c r="S265" s="378">
        <f t="shared" si="8"/>
        <v>5.0501848917062865E-2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4</v>
      </c>
      <c r="Q266" s="378">
        <f t="shared" si="7"/>
        <v>3.4188034188034191E-2</v>
      </c>
      <c r="R266" s="333">
        <v>617</v>
      </c>
      <c r="S266" s="378">
        <f t="shared" si="8"/>
        <v>3.2593766508188064E-2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117</v>
      </c>
      <c r="Q268" s="378">
        <f>SUM(Q259:Q267)</f>
        <v>1.0000000000000002</v>
      </c>
      <c r="R268" s="333">
        <f>SUM(R259:R267)</f>
        <v>18930</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3498</v>
      </c>
      <c r="Q282" s="378"/>
      <c r="R282" s="382">
        <f>+R280+R268+R256</f>
        <v>470241</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NOVEMBER 2011</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phoneticPr fontId="0" type="noConversion"/>
  <hyperlinks>
    <hyperlink ref="J9" r:id="rId1" xr:uid="{00000000-0004-0000-1700-000000000000}"/>
    <hyperlink ref="N232" r:id="rId2" xr:uid="{00000000-0004-0000-1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2D2926"/>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0.6593</v>
      </c>
      <c r="R16" s="222" t="s">
        <v>147</v>
      </c>
      <c r="S16" s="221">
        <v>0.3407</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40987</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175</v>
      </c>
      <c r="K27" s="384"/>
      <c r="L27" s="384" t="s">
        <v>175</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187469.04</v>
      </c>
      <c r="E32" s="289"/>
      <c r="F32" s="290">
        <f>F31*F38</f>
        <v>105000</v>
      </c>
      <c r="G32" s="290"/>
      <c r="H32" s="295">
        <f>H31*H38</f>
        <v>222000</v>
      </c>
      <c r="I32" s="290"/>
      <c r="J32" s="290">
        <f>J31*J38</f>
        <v>29216.979199999998</v>
      </c>
      <c r="K32" s="290"/>
      <c r="L32" s="295">
        <f>L31*L38</f>
        <v>18378.422399999999</v>
      </c>
      <c r="M32" s="290"/>
      <c r="N32" s="296">
        <f>N31*N38</f>
        <v>48537.8848</v>
      </c>
      <c r="O32" s="290"/>
      <c r="P32" s="295">
        <f>P31*P38</f>
        <v>25918.288</v>
      </c>
      <c r="Q32" s="290"/>
      <c r="R32" s="290"/>
      <c r="S32" s="291"/>
      <c r="T32" s="290"/>
      <c r="U32" s="292"/>
      <c r="V32" s="5"/>
    </row>
    <row r="33" spans="1:22" x14ac:dyDescent="0.35">
      <c r="A33" s="278"/>
      <c r="B33" s="286" t="s">
        <v>141</v>
      </c>
      <c r="C33" s="289"/>
      <c r="D33" s="299">
        <f>D37*D31</f>
        <v>182715.16999999998</v>
      </c>
      <c r="E33" s="293"/>
      <c r="F33" s="297">
        <f>F37*F31</f>
        <v>105000</v>
      </c>
      <c r="G33" s="297"/>
      <c r="H33" s="300">
        <f>H31*H37</f>
        <v>222000</v>
      </c>
      <c r="I33" s="297"/>
      <c r="J33" s="297">
        <f>J31*J37</f>
        <v>28997.189200000001</v>
      </c>
      <c r="K33" s="297"/>
      <c r="L33" s="300">
        <f>L31*L37</f>
        <v>18240.167400000002</v>
      </c>
      <c r="M33" s="297"/>
      <c r="N33" s="297">
        <f>N31*N37</f>
        <v>48172.749800000005</v>
      </c>
      <c r="O33" s="297"/>
      <c r="P33" s="300">
        <f>P31*P37</f>
        <v>25723.313000000002</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107555.41933440001</v>
      </c>
      <c r="E35" s="289"/>
      <c r="F35" s="290">
        <f>F34*F38</f>
        <v>105000</v>
      </c>
      <c r="G35" s="290"/>
      <c r="H35" s="290">
        <f>H34*H38</f>
        <v>150000</v>
      </c>
      <c r="I35" s="290"/>
      <c r="J35" s="290">
        <f>J32</f>
        <v>29216.979199999998</v>
      </c>
      <c r="K35" s="290"/>
      <c r="L35" s="290">
        <f>L34*L38</f>
        <v>12418.1586432</v>
      </c>
      <c r="M35" s="290"/>
      <c r="N35" s="290">
        <f>N32</f>
        <v>48537.8848</v>
      </c>
      <c r="O35" s="290"/>
      <c r="P35" s="290">
        <f>P34*P38</f>
        <v>17512.280339199999</v>
      </c>
      <c r="Q35" s="290"/>
      <c r="R35" s="290"/>
      <c r="S35" s="291"/>
      <c r="T35" s="290">
        <f>SUM(C35:P35)</f>
        <v>470240.72231679998</v>
      </c>
      <c r="U35" s="292"/>
      <c r="V35" s="5"/>
    </row>
    <row r="36" spans="1:22" x14ac:dyDescent="0.35">
      <c r="A36" s="283"/>
      <c r="B36" s="286" t="s">
        <v>298</v>
      </c>
      <c r="C36" s="293"/>
      <c r="D36" s="297">
        <f>D37*D34</f>
        <v>104828.0117512</v>
      </c>
      <c r="E36" s="293"/>
      <c r="F36" s="297">
        <f>F37*F34</f>
        <v>105000</v>
      </c>
      <c r="G36" s="297"/>
      <c r="H36" s="297">
        <f>H37*H34</f>
        <v>150000</v>
      </c>
      <c r="I36" s="297"/>
      <c r="J36" s="297">
        <f>J37*J34</f>
        <v>28997.189200000001</v>
      </c>
      <c r="K36" s="297"/>
      <c r="L36" s="297">
        <f>L37*L34</f>
        <v>12324.7408032</v>
      </c>
      <c r="M36" s="297"/>
      <c r="N36" s="297">
        <f>N37*N34</f>
        <v>48172.749800000005</v>
      </c>
      <c r="O36" s="297"/>
      <c r="P36" s="297">
        <f>P34*P37</f>
        <v>17380.541049200001</v>
      </c>
      <c r="Q36" s="322"/>
      <c r="R36" s="322"/>
      <c r="S36" s="291"/>
      <c r="T36" s="297">
        <f>SUM(C36:P36)</f>
        <v>466703.23260360002</v>
      </c>
      <c r="U36" s="292"/>
      <c r="V36" s="5"/>
    </row>
    <row r="37" spans="1:22" x14ac:dyDescent="0.35">
      <c r="A37" s="305"/>
      <c r="B37" s="306" t="s">
        <v>137</v>
      </c>
      <c r="C37" s="307"/>
      <c r="D37" s="308">
        <v>0.16610469999999999</v>
      </c>
      <c r="E37" s="309"/>
      <c r="F37" s="308">
        <v>1</v>
      </c>
      <c r="G37" s="308"/>
      <c r="H37" s="308">
        <v>1</v>
      </c>
      <c r="I37" s="308"/>
      <c r="J37" s="308">
        <v>0.93539320000000004</v>
      </c>
      <c r="K37" s="308"/>
      <c r="L37" s="308">
        <v>0.93539320000000004</v>
      </c>
      <c r="M37" s="308"/>
      <c r="N37" s="308">
        <v>0.93539320000000004</v>
      </c>
      <c r="O37" s="308"/>
      <c r="P37" s="308">
        <v>0.93539320000000004</v>
      </c>
      <c r="Q37" s="310"/>
      <c r="R37" s="310"/>
      <c r="S37" s="311"/>
      <c r="T37" s="311"/>
      <c r="U37" s="312"/>
      <c r="V37" s="5"/>
    </row>
    <row r="38" spans="1:22" x14ac:dyDescent="0.35">
      <c r="A38" s="305"/>
      <c r="B38" s="306" t="s">
        <v>138</v>
      </c>
      <c r="C38" s="307"/>
      <c r="D38" s="308">
        <v>0.17042640000000001</v>
      </c>
      <c r="E38" s="309"/>
      <c r="F38" s="308">
        <v>1</v>
      </c>
      <c r="G38" s="308"/>
      <c r="H38" s="308">
        <v>1</v>
      </c>
      <c r="I38" s="308"/>
      <c r="J38" s="308">
        <v>0.94248319999999997</v>
      </c>
      <c r="K38" s="308"/>
      <c r="L38" s="308">
        <v>0.94248319999999997</v>
      </c>
      <c r="M38" s="308"/>
      <c r="N38" s="308">
        <v>0.94248319999999997</v>
      </c>
      <c r="O38" s="308"/>
      <c r="P38" s="308">
        <v>0.94248319999999997</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3.385E-3</v>
      </c>
      <c r="E40" s="279"/>
      <c r="F40" s="316">
        <v>1.38131E-2</v>
      </c>
      <c r="G40" s="315"/>
      <c r="H40" s="316">
        <v>1.746E-2</v>
      </c>
      <c r="I40" s="315"/>
      <c r="J40" s="316">
        <v>1.6013099999999999E-2</v>
      </c>
      <c r="K40" s="315"/>
      <c r="L40" s="316">
        <v>1.966E-2</v>
      </c>
      <c r="M40" s="315"/>
      <c r="N40" s="316">
        <v>2.16131E-2</v>
      </c>
      <c r="O40" s="315"/>
      <c r="P40" s="316">
        <v>2.5260000000000001E-2</v>
      </c>
      <c r="Q40" s="315"/>
      <c r="R40" s="316"/>
      <c r="S40" s="281"/>
      <c r="T40" s="287"/>
      <c r="U40" s="282"/>
      <c r="V40" s="5"/>
    </row>
    <row r="41" spans="1:22" x14ac:dyDescent="0.35">
      <c r="A41" s="278"/>
      <c r="B41" s="279" t="s">
        <v>13</v>
      </c>
      <c r="C41" s="279"/>
      <c r="D41" s="316">
        <v>3.3899999999999998E-3</v>
      </c>
      <c r="E41" s="279"/>
      <c r="F41" s="316">
        <v>1.23781E-2</v>
      </c>
      <c r="G41" s="315"/>
      <c r="H41" s="316">
        <v>1.848E-2</v>
      </c>
      <c r="I41" s="315"/>
      <c r="J41" s="316">
        <v>1.45781E-2</v>
      </c>
      <c r="K41" s="315"/>
      <c r="L41" s="316">
        <v>2.068E-2</v>
      </c>
      <c r="M41" s="315"/>
      <c r="N41" s="316">
        <v>2.0178100000000001E-2</v>
      </c>
      <c r="O41" s="315"/>
      <c r="P41" s="316">
        <v>2.6280000000000001E-2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1.17687E-2</v>
      </c>
      <c r="E43" s="279"/>
      <c r="F43" s="316">
        <f>+F40</f>
        <v>1.38131E-2</v>
      </c>
      <c r="G43" s="315"/>
      <c r="H43" s="316">
        <v>1.4263100000000001E-2</v>
      </c>
      <c r="I43" s="315"/>
      <c r="J43" s="316">
        <f>+J40</f>
        <v>1.6013099999999999E-2</v>
      </c>
      <c r="K43" s="315"/>
      <c r="L43" s="316">
        <v>1.67431E-2</v>
      </c>
      <c r="M43" s="315"/>
      <c r="N43" s="316">
        <f>+N40</f>
        <v>2.16131E-2</v>
      </c>
      <c r="O43" s="315"/>
      <c r="P43" s="316">
        <v>2.2843100000000002E-2</v>
      </c>
      <c r="Q43" s="287"/>
      <c r="R43" s="287"/>
      <c r="S43" s="281"/>
      <c r="T43" s="315">
        <f>SUMPRODUCT(D43:P43,D35:P35)/T35</f>
        <v>1.4844502916979948E-2</v>
      </c>
      <c r="U43" s="282"/>
      <c r="V43" s="5"/>
    </row>
    <row r="44" spans="1:22" x14ac:dyDescent="0.35">
      <c r="A44" s="278"/>
      <c r="B44" s="279" t="s">
        <v>301</v>
      </c>
      <c r="C44" s="317"/>
      <c r="D44" s="316">
        <v>1.0333699999999999E-2</v>
      </c>
      <c r="E44" s="279"/>
      <c r="F44" s="316">
        <f>+F41</f>
        <v>1.23781E-2</v>
      </c>
      <c r="G44" s="315"/>
      <c r="H44" s="316">
        <v>1.28281E-2</v>
      </c>
      <c r="I44" s="315"/>
      <c r="J44" s="316">
        <f>+J41</f>
        <v>1.45781E-2</v>
      </c>
      <c r="K44" s="315"/>
      <c r="L44" s="316">
        <v>1.53081E-2</v>
      </c>
      <c r="M44" s="315"/>
      <c r="N44" s="316">
        <f>+N41</f>
        <v>2.0178100000000001E-2</v>
      </c>
      <c r="O44" s="315"/>
      <c r="P44" s="316">
        <v>2.1408099999999999E-2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0.2970175121504936</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40983</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40801</v>
      </c>
      <c r="S57" s="328"/>
      <c r="T57" s="327">
        <v>40891</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40892</v>
      </c>
      <c r="S58" s="328"/>
      <c r="T58" s="327">
        <v>40982</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40969</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316</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470241</v>
      </c>
      <c r="M68" s="332"/>
      <c r="N68" s="332">
        <f>3538+53</f>
        <v>3591</v>
      </c>
      <c r="O68" s="332"/>
      <c r="P68" s="332">
        <v>53</v>
      </c>
      <c r="Q68" s="332"/>
      <c r="R68" s="332">
        <v>0</v>
      </c>
      <c r="S68" s="332"/>
      <c r="T68" s="333">
        <f>+L68-N68+P68-R68</f>
        <v>466703</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470241</v>
      </c>
      <c r="M71" s="332"/>
      <c r="N71" s="332">
        <f>SUM(N68:N70)</f>
        <v>3591</v>
      </c>
      <c r="O71" s="332"/>
      <c r="P71" s="332">
        <f>SUM(P68:P70)</f>
        <v>53</v>
      </c>
      <c r="Q71" s="332"/>
      <c r="R71" s="332">
        <f>SUM(R68:R70)</f>
        <v>0</v>
      </c>
      <c r="S71" s="332"/>
      <c r="T71" s="332">
        <f>SUM(T68:T70)</f>
        <v>466703</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470241</v>
      </c>
      <c r="M84" s="332"/>
      <c r="N84" s="332"/>
      <c r="O84" s="332"/>
      <c r="P84" s="332"/>
      <c r="Q84" s="332"/>
      <c r="R84" s="332"/>
      <c r="S84" s="332"/>
      <c r="T84" s="332">
        <f>SUM(T71:T83)</f>
        <v>466703</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40968</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3591-252</f>
        <v>3339</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2397+1450-323-278</f>
        <v>3246</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28+3</f>
        <v>31</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65</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335</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3339</v>
      </c>
      <c r="S96" s="279"/>
      <c r="T96" s="332">
        <f>SUM(T88:T95)</f>
        <v>3677</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-4</v>
      </c>
      <c r="S97" s="279"/>
      <c r="T97" s="332">
        <v>4</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147</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3335</v>
      </c>
      <c r="S100" s="279"/>
      <c r="T100" s="332">
        <f>T96+T98+T97+T99</f>
        <v>3828</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-179-263-6</f>
        <v>-448</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-63</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-316-533</f>
        <v>-849</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-361</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-52</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-116</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-100</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-261</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252</v>
      </c>
      <c r="S114" s="279"/>
      <c r="T114" s="333">
        <v>-252</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-178</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-1136</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-5</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-44</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-2727</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-220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-94</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-365</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-132</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-3587</v>
      </c>
      <c r="S131" s="332"/>
      <c r="T131" s="332">
        <f>SUM(T101:T129)</f>
        <v>-3828</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FEBRUARY 2012</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252</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252</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-252</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466703</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466703</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+'Nov 11'!Q182</f>
        <v>43417</v>
      </c>
      <c r="R180" s="333">
        <f>+'Nov 11'!R182</f>
        <v>5993</v>
      </c>
      <c r="S180" s="279"/>
      <c r="T180" s="333">
        <f>Q180+R180</f>
        <v>49410</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44</v>
      </c>
      <c r="R181" s="332">
        <v>0</v>
      </c>
      <c r="S181" s="279"/>
      <c r="T181" s="333">
        <f>Q181+R181</f>
        <v>44</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43461</v>
      </c>
      <c r="R182" s="333">
        <f>R181+R180</f>
        <v>5993</v>
      </c>
      <c r="S182" s="279"/>
      <c r="T182" s="333">
        <f>Q182+R182</f>
        <v>49454</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110602.48000000001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2.7388429752066115</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1.57</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12.523809523809524</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7.97</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5.3628808864265931</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4.01</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FEBRUARY 2012</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40968</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2.7740000000000001E-2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1.4844502916979948E-2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1.2895497083020053E-2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8.1405066763638213E-3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15.45</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7.6365097896610463E-3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0.1217</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110</v>
      </c>
      <c r="R216" s="358">
        <f>+R268</f>
        <v>17535</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252</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'Nov 11'!R222+R221</f>
        <v>4984</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2</v>
      </c>
      <c r="R228" s="358">
        <v>584</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0.1</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3427</v>
      </c>
      <c r="Q235" s="378">
        <f t="shared" ref="Q235:Q242" si="2">P235/$P$244</f>
        <v>0.98703917050691248</v>
      </c>
      <c r="R235" s="237">
        <f t="shared" ref="R235:R242" si="3">+R247+R259+R271</f>
        <v>459960</v>
      </c>
      <c r="S235" s="378">
        <f t="shared" ref="S235:S242" si="4">R235/$R$244</f>
        <v>0.98555183917823541</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25</v>
      </c>
      <c r="Q236" s="378">
        <f t="shared" si="2"/>
        <v>7.2004608294930876E-3</v>
      </c>
      <c r="R236" s="333">
        <f t="shared" si="3"/>
        <v>3872</v>
      </c>
      <c r="S236" s="378">
        <f t="shared" si="4"/>
        <v>8.2964969155972859E-3</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5</v>
      </c>
      <c r="Q237" s="378">
        <f t="shared" si="2"/>
        <v>1.4400921658986176E-3</v>
      </c>
      <c r="R237" s="333">
        <f t="shared" si="3"/>
        <v>716</v>
      </c>
      <c r="S237" s="378">
        <f t="shared" si="4"/>
        <v>1.5341662684833824E-3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3</v>
      </c>
      <c r="Q238" s="378">
        <f t="shared" si="2"/>
        <v>8.6405529953917056E-4</v>
      </c>
      <c r="R238" s="333">
        <f t="shared" si="3"/>
        <v>315</v>
      </c>
      <c r="S238" s="378">
        <f t="shared" si="4"/>
        <v>6.7494745051992384E-4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1</v>
      </c>
      <c r="Q239" s="378">
        <f t="shared" si="2"/>
        <v>2.880184331797235E-4</v>
      </c>
      <c r="R239" s="333">
        <f t="shared" si="3"/>
        <v>156</v>
      </c>
      <c r="S239" s="378">
        <f t="shared" si="4"/>
        <v>3.3425968978129561E-4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2</v>
      </c>
      <c r="Q240" s="378">
        <f t="shared" si="2"/>
        <v>5.76036866359447E-4</v>
      </c>
      <c r="R240" s="333">
        <f t="shared" si="3"/>
        <v>268</v>
      </c>
      <c r="S240" s="378">
        <f t="shared" si="4"/>
        <v>5.7424100552171294E-4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5</v>
      </c>
      <c r="Q241" s="378">
        <f t="shared" si="2"/>
        <v>1.4400921658986176E-3</v>
      </c>
      <c r="R241" s="333">
        <f t="shared" si="3"/>
        <v>800</v>
      </c>
      <c r="S241" s="378">
        <f t="shared" si="4"/>
        <v>1.7141522552886954E-3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4</v>
      </c>
      <c r="Q242" s="378">
        <f t="shared" si="2"/>
        <v>1.152073732718894E-3</v>
      </c>
      <c r="R242" s="333">
        <f t="shared" si="3"/>
        <v>616</v>
      </c>
      <c r="S242" s="383">
        <f t="shared" si="4"/>
        <v>1.3198972365722954E-3</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3472</v>
      </c>
      <c r="Q244" s="378">
        <f>SUM(Q235:Q243)</f>
        <v>0.99999999999999989</v>
      </c>
      <c r="R244" s="333">
        <f>SUM(R235:R243)</f>
        <v>466703</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3343</v>
      </c>
      <c r="Q247" s="244">
        <f t="shared" ref="Q247:Q254" si="5">P247/$P$256</f>
        <v>0.99434860202260555</v>
      </c>
      <c r="R247" s="237">
        <v>446174</v>
      </c>
      <c r="S247" s="244">
        <f t="shared" ref="S247:S254" si="6">R247/$R$256</f>
        <v>0.99333434260677522</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17</v>
      </c>
      <c r="Q248" s="378">
        <f t="shared" si="5"/>
        <v>5.0565139797739437E-3</v>
      </c>
      <c r="R248" s="333">
        <v>2707</v>
      </c>
      <c r="S248" s="378">
        <f t="shared" si="6"/>
        <v>6.0266982509884943E-3</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2</v>
      </c>
      <c r="Q249" s="378">
        <f t="shared" si="5"/>
        <v>5.9488399762046404E-4</v>
      </c>
      <c r="R249" s="333">
        <v>287</v>
      </c>
      <c r="S249" s="378">
        <f t="shared" si="6"/>
        <v>6.389591422363125E-4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3362</v>
      </c>
      <c r="Q256" s="378">
        <f>SUM(Q247:Q255)</f>
        <v>0.99999999999999989</v>
      </c>
      <c r="R256" s="333">
        <f>SUM(R247:R255)</f>
        <v>449168</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84</v>
      </c>
      <c r="Q259" s="244">
        <f t="shared" ref="Q259:Q266" si="7">P259/$P$268</f>
        <v>0.76363636363636367</v>
      </c>
      <c r="R259" s="237">
        <v>13786</v>
      </c>
      <c r="S259" s="244">
        <f t="shared" ref="S259:S266" si="8">R259/$R$268</f>
        <v>0.78619903051040774</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8</v>
      </c>
      <c r="Q260" s="378">
        <f t="shared" si="7"/>
        <v>7.2727272727272724E-2</v>
      </c>
      <c r="R260" s="333">
        <v>1165</v>
      </c>
      <c r="S260" s="378">
        <f t="shared" si="8"/>
        <v>6.6438551468491591E-2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3</v>
      </c>
      <c r="Q261" s="378">
        <f t="shared" si="7"/>
        <v>2.7272727272727271E-2</v>
      </c>
      <c r="R261" s="333">
        <v>429</v>
      </c>
      <c r="S261" s="378">
        <f t="shared" si="8"/>
        <v>2.446535500427716E-2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3</v>
      </c>
      <c r="Q262" s="378">
        <f t="shared" si="7"/>
        <v>2.7272727272727271E-2</v>
      </c>
      <c r="R262" s="333">
        <v>315</v>
      </c>
      <c r="S262" s="378">
        <f t="shared" si="8"/>
        <v>1.7964071856287425E-2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1</v>
      </c>
      <c r="Q263" s="378">
        <f t="shared" si="7"/>
        <v>9.0909090909090905E-3</v>
      </c>
      <c r="R263" s="333">
        <v>156</v>
      </c>
      <c r="S263" s="378">
        <f t="shared" si="8"/>
        <v>8.8964927288280576E-3</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2</v>
      </c>
      <c r="Q264" s="378">
        <f t="shared" si="7"/>
        <v>1.8181818181818181E-2</v>
      </c>
      <c r="R264" s="333">
        <v>268</v>
      </c>
      <c r="S264" s="378">
        <f t="shared" si="8"/>
        <v>1.5283718277730254E-2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5</v>
      </c>
      <c r="Q265" s="378">
        <f t="shared" si="7"/>
        <v>4.5454545454545456E-2</v>
      </c>
      <c r="R265" s="333">
        <v>800</v>
      </c>
      <c r="S265" s="378">
        <f t="shared" si="8"/>
        <v>4.5623039635015683E-2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4</v>
      </c>
      <c r="Q266" s="378">
        <f t="shared" si="7"/>
        <v>3.6363636363636362E-2</v>
      </c>
      <c r="R266" s="333">
        <v>616</v>
      </c>
      <c r="S266" s="378">
        <f t="shared" si="8"/>
        <v>3.5129740518962074E-2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110</v>
      </c>
      <c r="Q268" s="378">
        <f>SUM(Q259:Q267)</f>
        <v>0.99999999999999989</v>
      </c>
      <c r="R268" s="333">
        <f>SUM(R259:R267)</f>
        <v>17535</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3472</v>
      </c>
      <c r="Q282" s="378"/>
      <c r="R282" s="382">
        <f>+R280+R268+R256</f>
        <v>466703</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FEBRUARY 2012</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hyperlinks>
    <hyperlink ref="J9" r:id="rId1" xr:uid="{00000000-0004-0000-1800-000000000000}"/>
    <hyperlink ref="N232" r:id="rId2" xr:uid="{00000000-0004-0000-1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89CB31"/>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0.65959999999999996</v>
      </c>
      <c r="R16" s="222" t="s">
        <v>147</v>
      </c>
      <c r="S16" s="221">
        <v>0.34039999999999998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41082</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182715.16999999998</v>
      </c>
      <c r="E32" s="289"/>
      <c r="F32" s="290">
        <f>F31*F38</f>
        <v>105000</v>
      </c>
      <c r="G32" s="290"/>
      <c r="H32" s="295">
        <f>H31*H38</f>
        <v>222000</v>
      </c>
      <c r="I32" s="290"/>
      <c r="J32" s="290">
        <f>J31*J38</f>
        <v>28997.189200000001</v>
      </c>
      <c r="K32" s="290"/>
      <c r="L32" s="295">
        <f>L31*L38</f>
        <v>18240.167400000002</v>
      </c>
      <c r="M32" s="290"/>
      <c r="N32" s="296">
        <f>N31*N38</f>
        <v>48172.749800000005</v>
      </c>
      <c r="O32" s="290"/>
      <c r="P32" s="295">
        <f>P31*P38</f>
        <v>25723.313000000002</v>
      </c>
      <c r="Q32" s="290"/>
      <c r="R32" s="290"/>
      <c r="S32" s="291"/>
      <c r="T32" s="290"/>
      <c r="U32" s="292"/>
      <c r="V32" s="5"/>
    </row>
    <row r="33" spans="1:22" x14ac:dyDescent="0.35">
      <c r="A33" s="278"/>
      <c r="B33" s="286" t="s">
        <v>141</v>
      </c>
      <c r="C33" s="289"/>
      <c r="D33" s="299">
        <f>D37*D31</f>
        <v>180330.37</v>
      </c>
      <c r="E33" s="293"/>
      <c r="F33" s="297">
        <f>F37*F31</f>
        <v>105000</v>
      </c>
      <c r="G33" s="297"/>
      <c r="H33" s="300">
        <f>H31*H37</f>
        <v>222000</v>
      </c>
      <c r="I33" s="297"/>
      <c r="J33" s="297">
        <f>J31*J37</f>
        <v>28886.928400000001</v>
      </c>
      <c r="K33" s="297"/>
      <c r="L33" s="300">
        <f>L31*L37</f>
        <v>18170.809799999999</v>
      </c>
      <c r="M33" s="297"/>
      <c r="N33" s="297">
        <f>N31*N37</f>
        <v>47989.5746</v>
      </c>
      <c r="O33" s="297"/>
      <c r="P33" s="300">
        <f>P31*P37</f>
        <v>25625.501</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104828.0117512</v>
      </c>
      <c r="E35" s="289"/>
      <c r="F35" s="290">
        <f>F34*F38</f>
        <v>105000</v>
      </c>
      <c r="G35" s="290"/>
      <c r="H35" s="290">
        <f>H34*H38</f>
        <v>150000</v>
      </c>
      <c r="I35" s="290"/>
      <c r="J35" s="290">
        <f>J32</f>
        <v>28997.189200000001</v>
      </c>
      <c r="K35" s="290"/>
      <c r="L35" s="290">
        <f>L34*L38</f>
        <v>12324.7408032</v>
      </c>
      <c r="M35" s="290"/>
      <c r="N35" s="290">
        <f>N32</f>
        <v>48172.749800000005</v>
      </c>
      <c r="O35" s="290"/>
      <c r="P35" s="290">
        <f>P34*P38</f>
        <v>17380.541049200001</v>
      </c>
      <c r="Q35" s="290"/>
      <c r="R35" s="290"/>
      <c r="S35" s="291"/>
      <c r="T35" s="290">
        <f>SUM(C35:P35)</f>
        <v>466703.23260360002</v>
      </c>
      <c r="U35" s="292"/>
      <c r="V35" s="5"/>
    </row>
    <row r="36" spans="1:22" x14ac:dyDescent="0.35">
      <c r="A36" s="283"/>
      <c r="B36" s="286" t="s">
        <v>298</v>
      </c>
      <c r="C36" s="293"/>
      <c r="D36" s="297">
        <f>D37*D34</f>
        <v>103459.7956232</v>
      </c>
      <c r="E36" s="293"/>
      <c r="F36" s="297">
        <f>F37*F34</f>
        <v>105000</v>
      </c>
      <c r="G36" s="297"/>
      <c r="H36" s="297">
        <f>H37*H34</f>
        <v>150000</v>
      </c>
      <c r="I36" s="297"/>
      <c r="J36" s="297">
        <f>J37*J34</f>
        <v>28886.928400000001</v>
      </c>
      <c r="K36" s="297"/>
      <c r="L36" s="297">
        <f>L37*L34</f>
        <v>12277.876406400001</v>
      </c>
      <c r="M36" s="297"/>
      <c r="N36" s="297">
        <f>N37*N34</f>
        <v>47989.5746</v>
      </c>
      <c r="O36" s="297"/>
      <c r="P36" s="297">
        <f>P34*P37</f>
        <v>17314.4521484</v>
      </c>
      <c r="Q36" s="322"/>
      <c r="R36" s="322"/>
      <c r="S36" s="291"/>
      <c r="T36" s="297">
        <f>SUM(C36:P36)</f>
        <v>464928.627178</v>
      </c>
      <c r="U36" s="292"/>
      <c r="V36" s="5"/>
    </row>
    <row r="37" spans="1:22" x14ac:dyDescent="0.35">
      <c r="A37" s="305"/>
      <c r="B37" s="306" t="s">
        <v>137</v>
      </c>
      <c r="C37" s="307"/>
      <c r="D37" s="308">
        <v>0.16393669999999999</v>
      </c>
      <c r="E37" s="309"/>
      <c r="F37" s="308">
        <v>1</v>
      </c>
      <c r="G37" s="308"/>
      <c r="H37" s="308">
        <v>1</v>
      </c>
      <c r="I37" s="308"/>
      <c r="J37" s="308">
        <v>0.93183640000000001</v>
      </c>
      <c r="K37" s="308"/>
      <c r="L37" s="308">
        <v>0.93183640000000001</v>
      </c>
      <c r="M37" s="308"/>
      <c r="N37" s="308">
        <v>0.93183640000000001</v>
      </c>
      <c r="O37" s="308"/>
      <c r="P37" s="308">
        <v>0.93183640000000001</v>
      </c>
      <c r="Q37" s="310"/>
      <c r="R37" s="310"/>
      <c r="S37" s="311"/>
      <c r="T37" s="311"/>
      <c r="U37" s="312"/>
      <c r="V37" s="5"/>
    </row>
    <row r="38" spans="1:22" x14ac:dyDescent="0.35">
      <c r="A38" s="305"/>
      <c r="B38" s="306" t="s">
        <v>138</v>
      </c>
      <c r="C38" s="307"/>
      <c r="D38" s="308">
        <v>0.16610469999999999</v>
      </c>
      <c r="E38" s="309"/>
      <c r="F38" s="308">
        <v>1</v>
      </c>
      <c r="G38" s="308"/>
      <c r="H38" s="308">
        <v>1</v>
      </c>
      <c r="I38" s="308"/>
      <c r="J38" s="308">
        <v>0.93539320000000004</v>
      </c>
      <c r="K38" s="308"/>
      <c r="L38" s="308">
        <v>0.93539320000000004</v>
      </c>
      <c r="M38" s="308"/>
      <c r="N38" s="308">
        <v>0.93539320000000004</v>
      </c>
      <c r="O38" s="308"/>
      <c r="P38" s="308">
        <v>0.93539320000000004</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3.2875000000000001E-3</v>
      </c>
      <c r="E40" s="279"/>
      <c r="F40" s="316">
        <v>1.3586900000000001E-2</v>
      </c>
      <c r="G40" s="315"/>
      <c r="H40" s="316">
        <v>1.196E-2</v>
      </c>
      <c r="I40" s="315"/>
      <c r="J40" s="316">
        <v>1.57869E-2</v>
      </c>
      <c r="K40" s="315"/>
      <c r="L40" s="316">
        <v>1.4160000000000001E-2</v>
      </c>
      <c r="M40" s="315"/>
      <c r="N40" s="316">
        <v>2.13869E-2</v>
      </c>
      <c r="O40" s="315"/>
      <c r="P40" s="316">
        <v>1.976E-2</v>
      </c>
      <c r="Q40" s="315"/>
      <c r="R40" s="316"/>
      <c r="S40" s="281"/>
      <c r="T40" s="287"/>
      <c r="U40" s="282"/>
      <c r="V40" s="5"/>
    </row>
    <row r="41" spans="1:22" x14ac:dyDescent="0.35">
      <c r="A41" s="278"/>
      <c r="B41" s="279" t="s">
        <v>13</v>
      </c>
      <c r="C41" s="279"/>
      <c r="D41" s="316">
        <v>3.385E-3</v>
      </c>
      <c r="E41" s="279"/>
      <c r="F41" s="316">
        <v>1.38131E-2</v>
      </c>
      <c r="G41" s="315"/>
      <c r="H41" s="316">
        <v>1.746E-2</v>
      </c>
      <c r="I41" s="315"/>
      <c r="J41" s="316">
        <v>1.6013099999999999E-2</v>
      </c>
      <c r="K41" s="315"/>
      <c r="L41" s="316">
        <v>1.966E-2</v>
      </c>
      <c r="M41" s="315"/>
      <c r="N41" s="316">
        <v>2.16131E-2</v>
      </c>
      <c r="O41" s="315"/>
      <c r="P41" s="316">
        <v>2.5260000000000001E-2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1.1542500000000001E-2</v>
      </c>
      <c r="E43" s="279"/>
      <c r="F43" s="316">
        <f>+F40</f>
        <v>1.3586900000000001E-2</v>
      </c>
      <c r="G43" s="315"/>
      <c r="H43" s="316">
        <v>1.40369E-2</v>
      </c>
      <c r="I43" s="315"/>
      <c r="J43" s="316">
        <f>+J40</f>
        <v>1.57869E-2</v>
      </c>
      <c r="K43" s="315"/>
      <c r="L43" s="316">
        <v>1.6516900000000001E-2</v>
      </c>
      <c r="M43" s="315"/>
      <c r="N43" s="316">
        <f>+N40</f>
        <v>2.13869E-2</v>
      </c>
      <c r="O43" s="315"/>
      <c r="P43" s="316">
        <v>2.2616899999999999E-2</v>
      </c>
      <c r="Q43" s="287"/>
      <c r="R43" s="287"/>
      <c r="S43" s="281"/>
      <c r="T43" s="315">
        <f>SUMPRODUCT(D43:P43,D35:P35)/T35</f>
        <v>1.4627794126602527E-2</v>
      </c>
      <c r="U43" s="282"/>
      <c r="V43" s="5"/>
    </row>
    <row r="44" spans="1:22" x14ac:dyDescent="0.35">
      <c r="A44" s="278"/>
      <c r="B44" s="279" t="s">
        <v>301</v>
      </c>
      <c r="C44" s="317"/>
      <c r="D44" s="316">
        <v>1.17687E-2</v>
      </c>
      <c r="E44" s="279"/>
      <c r="F44" s="316">
        <f>+F41</f>
        <v>1.38131E-2</v>
      </c>
      <c r="G44" s="315"/>
      <c r="H44" s="316">
        <v>1.4263100000000001E-2</v>
      </c>
      <c r="I44" s="315"/>
      <c r="J44" s="316">
        <f>+J41</f>
        <v>1.6013099999999999E-2</v>
      </c>
      <c r="K44" s="315"/>
      <c r="L44" s="316">
        <v>1.67431E-2</v>
      </c>
      <c r="M44" s="315"/>
      <c r="N44" s="316">
        <f>+N41</f>
        <v>2.16131E-2</v>
      </c>
      <c r="O44" s="315"/>
      <c r="P44" s="316">
        <v>2.2843100000000002E-2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0.29701749779134556</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41075</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40892</v>
      </c>
      <c r="S57" s="328"/>
      <c r="T57" s="327">
        <v>40982</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40983</v>
      </c>
      <c r="S58" s="328"/>
      <c r="T58" s="327">
        <v>41074</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41061</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319</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466703</v>
      </c>
      <c r="M68" s="332"/>
      <c r="N68" s="332">
        <f>1774+47</f>
        <v>1821</v>
      </c>
      <c r="O68" s="332"/>
      <c r="P68" s="332">
        <v>47</v>
      </c>
      <c r="Q68" s="332"/>
      <c r="R68" s="332">
        <v>0</v>
      </c>
      <c r="S68" s="332"/>
      <c r="T68" s="333">
        <f>+L68-N68+P68-R68</f>
        <v>464929</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466703</v>
      </c>
      <c r="M71" s="332"/>
      <c r="N71" s="332">
        <f>SUM(N68:N70)</f>
        <v>1821</v>
      </c>
      <c r="O71" s="332"/>
      <c r="P71" s="332">
        <f>SUM(P68:P70)</f>
        <v>47</v>
      </c>
      <c r="Q71" s="332"/>
      <c r="R71" s="332">
        <f>SUM(R68:R70)</f>
        <v>0</v>
      </c>
      <c r="S71" s="332"/>
      <c r="T71" s="332">
        <f>SUM(T68:T70)</f>
        <v>464929</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466703</v>
      </c>
      <c r="M84" s="332"/>
      <c r="N84" s="332"/>
      <c r="O84" s="332"/>
      <c r="P84" s="332"/>
      <c r="Q84" s="332"/>
      <c r="R84" s="332"/>
      <c r="S84" s="332"/>
      <c r="T84" s="332">
        <f>SUM(T71:T83)</f>
        <v>464929</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41060</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1821-36</f>
        <v>1785</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2409+1410-264-267</f>
        <v>3288</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5+2</f>
        <v>7</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26</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339</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1785</v>
      </c>
      <c r="S96" s="279"/>
      <c r="T96" s="332">
        <f>SUM(T88:T95)</f>
        <v>3660</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-3</v>
      </c>
      <c r="S97" s="279"/>
      <c r="T97" s="332">
        <v>3</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-36</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1782</v>
      </c>
      <c r="S100" s="279"/>
      <c r="T100" s="332">
        <f>T96+T98+T97+T99</f>
        <v>3627</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-179-193-6</f>
        <v>-378</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-64</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-1195+360</f>
        <v>-835</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-360</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-52</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-115</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-99</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-260</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36</v>
      </c>
      <c r="S114" s="279"/>
      <c r="T114" s="333">
        <v>-36</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-179</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-1237</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-44</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0</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-1368</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-110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-47</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-183</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-66</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-1818</v>
      </c>
      <c r="S131" s="332"/>
      <c r="T131" s="332">
        <f>SUM(T101:T129)</f>
        <v>-3627</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MAY 2012</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36</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36</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-36</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f>-T99</f>
        <v>36</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464929</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464929</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+'Feb 12'!Q182</f>
        <v>43461</v>
      </c>
      <c r="R180" s="333">
        <f>+'Feb 12'!R182</f>
        <v>5993</v>
      </c>
      <c r="S180" s="279"/>
      <c r="T180" s="333">
        <f>Q180+R180</f>
        <v>49454</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0</v>
      </c>
      <c r="R181" s="332">
        <v>0</v>
      </c>
      <c r="S181" s="279"/>
      <c r="T181" s="333">
        <f>Q181+R181</f>
        <v>0</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43461</v>
      </c>
      <c r="R182" s="333">
        <f>R181+R180</f>
        <v>5993</v>
      </c>
      <c r="S182" s="279"/>
      <c r="T182" s="333">
        <f>Q182+R182</f>
        <v>49454</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110602.48000000001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2.6627615062761505</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1.58</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11.898203592814371</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8.0399999999999991</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5.0696378830083564</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4.03</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MAY 2012</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41060</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2.777E-2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1.4627794126602527E-2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1.3142205873397473E-2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7.7715377874151229E-3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15.21</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3.9018390711008928E-3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0.1179</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115</v>
      </c>
      <c r="R216" s="358">
        <f>+R268</f>
        <v>17952</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36</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'Feb 12'!R222+R221</f>
        <v>5020</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1</v>
      </c>
      <c r="R228" s="358">
        <v>102</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1.19</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3410</v>
      </c>
      <c r="Q235" s="378">
        <f t="shared" ref="Q235:Q242" si="2">P235/$P$244</f>
        <v>0.98554913294797686</v>
      </c>
      <c r="R235" s="237">
        <f t="shared" ref="R235:R242" si="3">+R247+R259+R271</f>
        <v>456116</v>
      </c>
      <c r="S235" s="378">
        <f t="shared" ref="S235:S242" si="4">R235/$R$244</f>
        <v>0.98104441753472038</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23</v>
      </c>
      <c r="Q236" s="378">
        <f t="shared" si="2"/>
        <v>6.647398843930636E-3</v>
      </c>
      <c r="R236" s="333">
        <f t="shared" si="3"/>
        <v>5324</v>
      </c>
      <c r="S236" s="378">
        <f t="shared" si="4"/>
        <v>1.1451210830040717E-2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12</v>
      </c>
      <c r="Q237" s="378">
        <f t="shared" si="2"/>
        <v>3.4682080924855491E-3</v>
      </c>
      <c r="R237" s="333">
        <f t="shared" si="3"/>
        <v>1435</v>
      </c>
      <c r="S237" s="378">
        <f t="shared" si="4"/>
        <v>3.0864927763163837E-3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2</v>
      </c>
      <c r="Q238" s="378">
        <f t="shared" si="2"/>
        <v>5.7803468208092489E-4</v>
      </c>
      <c r="R238" s="333">
        <f t="shared" si="3"/>
        <v>116</v>
      </c>
      <c r="S238" s="378">
        <f t="shared" si="4"/>
        <v>2.4950046136076691E-4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1</v>
      </c>
      <c r="Q239" s="378">
        <f t="shared" si="2"/>
        <v>2.8901734104046245E-4</v>
      </c>
      <c r="R239" s="333">
        <f t="shared" si="3"/>
        <v>127</v>
      </c>
      <c r="S239" s="378">
        <f t="shared" si="4"/>
        <v>2.7315998786911548E-4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1</v>
      </c>
      <c r="Q240" s="378">
        <f t="shared" si="2"/>
        <v>2.8901734104046245E-4</v>
      </c>
      <c r="R240" s="333">
        <f t="shared" si="3"/>
        <v>143</v>
      </c>
      <c r="S240" s="378">
        <f t="shared" si="4"/>
        <v>3.0757384460853161E-4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9</v>
      </c>
      <c r="Q241" s="378">
        <f t="shared" si="2"/>
        <v>2.6011560693641619E-3</v>
      </c>
      <c r="R241" s="333">
        <f t="shared" si="3"/>
        <v>1376</v>
      </c>
      <c r="S241" s="378">
        <f t="shared" si="4"/>
        <v>2.9595916795897869E-3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2</v>
      </c>
      <c r="Q242" s="378">
        <f t="shared" si="2"/>
        <v>5.7803468208092489E-4</v>
      </c>
      <c r="R242" s="333">
        <f t="shared" si="3"/>
        <v>292</v>
      </c>
      <c r="S242" s="383">
        <f t="shared" si="4"/>
        <v>6.2805288549434434E-4</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3460</v>
      </c>
      <c r="Q244" s="378">
        <f>SUM(Q235:Q243)</f>
        <v>1</v>
      </c>
      <c r="R244" s="333">
        <f>SUM(R235:R243)</f>
        <v>464929</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3323</v>
      </c>
      <c r="Q247" s="244">
        <f t="shared" ref="Q247:Q254" si="5">P247/$P$256</f>
        <v>0.99342301943198807</v>
      </c>
      <c r="R247" s="237">
        <v>441725</v>
      </c>
      <c r="S247" s="244">
        <f t="shared" ref="S247:S254" si="6">R247/$R$256</f>
        <v>0.98824995469565546</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21</v>
      </c>
      <c r="Q248" s="378">
        <f t="shared" si="5"/>
        <v>6.2780269058295961E-3</v>
      </c>
      <c r="R248" s="333">
        <v>5102</v>
      </c>
      <c r="S248" s="378">
        <f t="shared" si="6"/>
        <v>1.1414457567167885E-2</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1</v>
      </c>
      <c r="Q249" s="378">
        <f t="shared" si="5"/>
        <v>2.9895366218236175E-4</v>
      </c>
      <c r="R249" s="333">
        <v>150</v>
      </c>
      <c r="S249" s="378">
        <f t="shared" si="6"/>
        <v>3.3558773717663325E-4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3345</v>
      </c>
      <c r="Q256" s="378">
        <f>SUM(Q247:Q255)</f>
        <v>1</v>
      </c>
      <c r="R256" s="333">
        <f>SUM(R247:R255)</f>
        <v>446977</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87</v>
      </c>
      <c r="Q259" s="244">
        <f t="shared" ref="Q259:Q266" si="7">P259/$P$268</f>
        <v>0.75652173913043474</v>
      </c>
      <c r="R259" s="237">
        <v>14391</v>
      </c>
      <c r="S259" s="244">
        <f t="shared" ref="S259:S266" si="8">R259/$R$268</f>
        <v>0.80163770053475936</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2</v>
      </c>
      <c r="Q260" s="378">
        <f t="shared" si="7"/>
        <v>1.7391304347826087E-2</v>
      </c>
      <c r="R260" s="333">
        <v>222</v>
      </c>
      <c r="S260" s="378">
        <f t="shared" si="8"/>
        <v>1.2366310160427808E-2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11</v>
      </c>
      <c r="Q261" s="378">
        <f t="shared" si="7"/>
        <v>9.5652173913043481E-2</v>
      </c>
      <c r="R261" s="333">
        <v>1285</v>
      </c>
      <c r="S261" s="378">
        <f t="shared" si="8"/>
        <v>7.1579768270944741E-2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2</v>
      </c>
      <c r="Q262" s="378">
        <f t="shared" si="7"/>
        <v>1.7391304347826087E-2</v>
      </c>
      <c r="R262" s="333">
        <v>116</v>
      </c>
      <c r="S262" s="378">
        <f t="shared" si="8"/>
        <v>6.4616755793226385E-3</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1</v>
      </c>
      <c r="Q263" s="378">
        <f t="shared" si="7"/>
        <v>8.6956521739130436E-3</v>
      </c>
      <c r="R263" s="333">
        <v>127</v>
      </c>
      <c r="S263" s="378">
        <f t="shared" si="8"/>
        <v>7.0744206773618538E-3</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1</v>
      </c>
      <c r="Q264" s="378">
        <f t="shared" si="7"/>
        <v>8.6956521739130436E-3</v>
      </c>
      <c r="R264" s="333">
        <v>143</v>
      </c>
      <c r="S264" s="378">
        <f t="shared" si="8"/>
        <v>7.9656862745098034E-3</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9</v>
      </c>
      <c r="Q265" s="378">
        <f t="shared" si="7"/>
        <v>7.8260869565217397E-2</v>
      </c>
      <c r="R265" s="333">
        <v>1376</v>
      </c>
      <c r="S265" s="378">
        <f t="shared" si="8"/>
        <v>7.6648841354723704E-2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2</v>
      </c>
      <c r="Q266" s="378">
        <f t="shared" si="7"/>
        <v>1.7391304347826087E-2</v>
      </c>
      <c r="R266" s="333">
        <v>292</v>
      </c>
      <c r="S266" s="378">
        <f t="shared" si="8"/>
        <v>1.6265597147950089E-2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115</v>
      </c>
      <c r="Q268" s="378">
        <f>SUM(Q259:Q267)</f>
        <v>0.99999999999999989</v>
      </c>
      <c r="R268" s="333">
        <f>SUM(R259:R267)</f>
        <v>17952</v>
      </c>
      <c r="S268" s="378">
        <f>SUM(S259:S267)</f>
        <v>0.99999999999999989</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3460</v>
      </c>
      <c r="Q282" s="378"/>
      <c r="R282" s="382">
        <f>+R280+R268+R256</f>
        <v>464929</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MAY 2012</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hyperlinks>
    <hyperlink ref="J9" r:id="rId1" xr:uid="{00000000-0004-0000-1900-000000000000}"/>
    <hyperlink ref="N232" r:id="rId2" xr:uid="{00000000-0004-0000-1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2D2926"/>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0.66110000000000002</v>
      </c>
      <c r="R16" s="222" t="s">
        <v>147</v>
      </c>
      <c r="S16" s="221">
        <v>0.33889999999999998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41173</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180330.37</v>
      </c>
      <c r="E32" s="289"/>
      <c r="F32" s="290">
        <f>F31*F38</f>
        <v>105000</v>
      </c>
      <c r="G32" s="290"/>
      <c r="H32" s="295">
        <f>H31*H38</f>
        <v>222000</v>
      </c>
      <c r="I32" s="290"/>
      <c r="J32" s="290">
        <f>J31*J38</f>
        <v>28886.928400000001</v>
      </c>
      <c r="K32" s="290"/>
      <c r="L32" s="295">
        <f>L31*L38</f>
        <v>18170.809799999999</v>
      </c>
      <c r="M32" s="290"/>
      <c r="N32" s="296">
        <f>N31*N38</f>
        <v>47989.5746</v>
      </c>
      <c r="O32" s="290"/>
      <c r="P32" s="295">
        <f>P31*P38</f>
        <v>25625.501</v>
      </c>
      <c r="Q32" s="290"/>
      <c r="R32" s="290"/>
      <c r="S32" s="291"/>
      <c r="T32" s="290"/>
      <c r="U32" s="292"/>
      <c r="V32" s="5"/>
    </row>
    <row r="33" spans="1:22" x14ac:dyDescent="0.35">
      <c r="A33" s="278"/>
      <c r="B33" s="286" t="s">
        <v>141</v>
      </c>
      <c r="C33" s="289"/>
      <c r="D33" s="299">
        <f>D37*D31</f>
        <v>176280.39</v>
      </c>
      <c r="E33" s="293"/>
      <c r="F33" s="297">
        <f>F37*F31</f>
        <v>105000</v>
      </c>
      <c r="G33" s="297"/>
      <c r="H33" s="300">
        <f>H31*H37</f>
        <v>222000</v>
      </c>
      <c r="I33" s="297"/>
      <c r="J33" s="297">
        <f>J31*J37</f>
        <v>28699.682199999999</v>
      </c>
      <c r="K33" s="297"/>
      <c r="L33" s="300">
        <f>L31*L37</f>
        <v>18053.025900000001</v>
      </c>
      <c r="M33" s="297"/>
      <c r="N33" s="297">
        <f>N31*N37</f>
        <v>47678.504300000001</v>
      </c>
      <c r="O33" s="297"/>
      <c r="P33" s="300">
        <f>P31*P37</f>
        <v>25459.395499999999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103459.7956232</v>
      </c>
      <c r="E35" s="289"/>
      <c r="F35" s="290">
        <f>F34*F38</f>
        <v>105000</v>
      </c>
      <c r="G35" s="290"/>
      <c r="H35" s="290">
        <f>H34*H38</f>
        <v>150000</v>
      </c>
      <c r="I35" s="290"/>
      <c r="J35" s="290">
        <f>J32</f>
        <v>28886.928400000001</v>
      </c>
      <c r="K35" s="290"/>
      <c r="L35" s="290">
        <f>L34*L38</f>
        <v>12277.876406400001</v>
      </c>
      <c r="M35" s="290"/>
      <c r="N35" s="290">
        <f>N32</f>
        <v>47989.5746</v>
      </c>
      <c r="O35" s="290"/>
      <c r="P35" s="290">
        <f>P34*P38</f>
        <v>17314.4521484</v>
      </c>
      <c r="Q35" s="290"/>
      <c r="R35" s="290"/>
      <c r="S35" s="291"/>
      <c r="T35" s="290">
        <f>SUM(C35:P35)</f>
        <v>464928.627178</v>
      </c>
      <c r="U35" s="292"/>
      <c r="V35" s="5"/>
    </row>
    <row r="36" spans="1:22" x14ac:dyDescent="0.35">
      <c r="A36" s="283"/>
      <c r="B36" s="286" t="s">
        <v>298</v>
      </c>
      <c r="C36" s="293"/>
      <c r="D36" s="297">
        <f>D37*D34</f>
        <v>101136.22637040001</v>
      </c>
      <c r="E36" s="293"/>
      <c r="F36" s="297">
        <f>F37*F34</f>
        <v>105000</v>
      </c>
      <c r="G36" s="297"/>
      <c r="H36" s="297">
        <f>H37*H34</f>
        <v>150000</v>
      </c>
      <c r="I36" s="297"/>
      <c r="J36" s="297">
        <f>J37*J34</f>
        <v>28699.682199999999</v>
      </c>
      <c r="K36" s="297"/>
      <c r="L36" s="297">
        <f>L37*L34</f>
        <v>12198.290731199999</v>
      </c>
      <c r="M36" s="297"/>
      <c r="N36" s="297">
        <f>N37*N34</f>
        <v>47678.504300000001</v>
      </c>
      <c r="O36" s="297"/>
      <c r="P36" s="297">
        <f>P34*P37</f>
        <v>17202.219192199998</v>
      </c>
      <c r="Q36" s="322"/>
      <c r="R36" s="322"/>
      <c r="S36" s="291"/>
      <c r="T36" s="297">
        <f>SUM(C36:P36)</f>
        <v>461914.92279380001</v>
      </c>
      <c r="U36" s="292"/>
      <c r="V36" s="5"/>
    </row>
    <row r="37" spans="1:22" x14ac:dyDescent="0.35">
      <c r="A37" s="305"/>
      <c r="B37" s="306" t="s">
        <v>137</v>
      </c>
      <c r="C37" s="307"/>
      <c r="D37" s="308">
        <v>0.16025490000000001</v>
      </c>
      <c r="E37" s="309"/>
      <c r="F37" s="308">
        <v>1</v>
      </c>
      <c r="G37" s="308"/>
      <c r="H37" s="308">
        <v>1</v>
      </c>
      <c r="I37" s="308"/>
      <c r="J37" s="308">
        <v>0.92579619999999996</v>
      </c>
      <c r="K37" s="308"/>
      <c r="L37" s="308">
        <v>0.92579619999999996</v>
      </c>
      <c r="M37" s="308"/>
      <c r="N37" s="308">
        <v>0.92579619999999996</v>
      </c>
      <c r="O37" s="308"/>
      <c r="P37" s="308">
        <v>0.92579619999999996</v>
      </c>
      <c r="Q37" s="310"/>
      <c r="R37" s="310"/>
      <c r="S37" s="311"/>
      <c r="T37" s="311"/>
      <c r="U37" s="312"/>
      <c r="V37" s="5"/>
    </row>
    <row r="38" spans="1:22" x14ac:dyDescent="0.35">
      <c r="A38" s="305"/>
      <c r="B38" s="306" t="s">
        <v>138</v>
      </c>
      <c r="C38" s="307"/>
      <c r="D38" s="308">
        <v>0.16393669999999999</v>
      </c>
      <c r="E38" s="309"/>
      <c r="F38" s="308">
        <v>1</v>
      </c>
      <c r="G38" s="308"/>
      <c r="H38" s="308">
        <v>1</v>
      </c>
      <c r="I38" s="308"/>
      <c r="J38" s="308">
        <v>0.93183640000000001</v>
      </c>
      <c r="K38" s="308"/>
      <c r="L38" s="308">
        <v>0.93183640000000001</v>
      </c>
      <c r="M38" s="308"/>
      <c r="N38" s="308">
        <v>0.93183640000000001</v>
      </c>
      <c r="O38" s="308"/>
      <c r="P38" s="308">
        <v>0.93183640000000001</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3.2950000000000002E-3</v>
      </c>
      <c r="E40" s="279"/>
      <c r="F40" s="316">
        <v>1.2708799999999999E-2</v>
      </c>
      <c r="G40" s="315"/>
      <c r="H40" s="316">
        <v>9.8200000000000006E-3</v>
      </c>
      <c r="I40" s="315"/>
      <c r="J40" s="316">
        <v>1.49088E-2</v>
      </c>
      <c r="K40" s="315"/>
      <c r="L40" s="316">
        <v>1.2019999999999999E-2</v>
      </c>
      <c r="M40" s="315"/>
      <c r="N40" s="316">
        <v>2.0508800000000001E-2</v>
      </c>
      <c r="O40" s="315"/>
      <c r="P40" s="316">
        <v>1.762E-2</v>
      </c>
      <c r="Q40" s="315"/>
      <c r="R40" s="316"/>
      <c r="S40" s="281"/>
      <c r="T40" s="287"/>
      <c r="U40" s="282"/>
      <c r="V40" s="5"/>
    </row>
    <row r="41" spans="1:22" x14ac:dyDescent="0.35">
      <c r="A41" s="278"/>
      <c r="B41" s="279" t="s">
        <v>13</v>
      </c>
      <c r="C41" s="279"/>
      <c r="D41" s="316">
        <v>3.2875000000000001E-3</v>
      </c>
      <c r="E41" s="279"/>
      <c r="F41" s="316">
        <v>1.3586900000000001E-2</v>
      </c>
      <c r="G41" s="315"/>
      <c r="H41" s="316">
        <v>1.196E-2</v>
      </c>
      <c r="I41" s="315"/>
      <c r="J41" s="316">
        <v>1.57869E-2</v>
      </c>
      <c r="K41" s="315"/>
      <c r="L41" s="316">
        <v>1.4160000000000001E-2</v>
      </c>
      <c r="M41" s="315"/>
      <c r="N41" s="316">
        <v>2.13869E-2</v>
      </c>
      <c r="O41" s="315"/>
      <c r="P41" s="316">
        <v>1.976E-2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1.0664399999999999E-2</v>
      </c>
      <c r="E43" s="279"/>
      <c r="F43" s="316">
        <f>+F40</f>
        <v>1.2708799999999999E-2</v>
      </c>
      <c r="G43" s="315"/>
      <c r="H43" s="316">
        <v>1.31588E-2</v>
      </c>
      <c r="I43" s="315"/>
      <c r="J43" s="316">
        <f>+J40</f>
        <v>1.49088E-2</v>
      </c>
      <c r="K43" s="315"/>
      <c r="L43" s="316">
        <v>1.5638800000000001E-2</v>
      </c>
      <c r="M43" s="315"/>
      <c r="N43" s="316">
        <f>+N40</f>
        <v>2.0508800000000001E-2</v>
      </c>
      <c r="O43" s="315"/>
      <c r="P43" s="316">
        <v>2.1738799999999999E-2</v>
      </c>
      <c r="Q43" s="287"/>
      <c r="R43" s="287"/>
      <c r="S43" s="281"/>
      <c r="T43" s="315">
        <f>SUMPRODUCT(D43:P43,D35:P35)/T35</f>
        <v>1.3754509750999261E-2</v>
      </c>
      <c r="U43" s="282"/>
      <c r="V43" s="5"/>
    </row>
    <row r="44" spans="1:22" x14ac:dyDescent="0.35">
      <c r="A44" s="278"/>
      <c r="B44" s="279" t="s">
        <v>301</v>
      </c>
      <c r="C44" s="317"/>
      <c r="D44" s="316">
        <v>1.1542500000000001E-2</v>
      </c>
      <c r="E44" s="279"/>
      <c r="F44" s="316">
        <f>+F41</f>
        <v>1.3586900000000001E-2</v>
      </c>
      <c r="G44" s="315"/>
      <c r="H44" s="316">
        <v>1.40369E-2</v>
      </c>
      <c r="I44" s="315"/>
      <c r="J44" s="316">
        <f>+J41</f>
        <v>1.57869E-2</v>
      </c>
      <c r="K44" s="315"/>
      <c r="L44" s="316">
        <v>1.6516900000000001E-2</v>
      </c>
      <c r="M44" s="315"/>
      <c r="N44" s="316">
        <f>+N41</f>
        <v>2.13869E-2</v>
      </c>
      <c r="O44" s="315"/>
      <c r="P44" s="316">
        <v>2.2616899999999999E-2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0.29701751349885058</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41169</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40983</v>
      </c>
      <c r="S57" s="328"/>
      <c r="T57" s="327">
        <v>41074</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94</v>
      </c>
      <c r="Q58" s="279"/>
      <c r="R58" s="327">
        <v>41075</v>
      </c>
      <c r="S58" s="328"/>
      <c r="T58" s="327">
        <v>41168</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41155</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322</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464929</v>
      </c>
      <c r="M68" s="332"/>
      <c r="N68" s="332">
        <f>3014+15+5</f>
        <v>3034</v>
      </c>
      <c r="O68" s="332"/>
      <c r="P68" s="332">
        <f>15+5</f>
        <v>20</v>
      </c>
      <c r="Q68" s="332"/>
      <c r="R68" s="332">
        <v>0</v>
      </c>
      <c r="S68" s="332"/>
      <c r="T68" s="333">
        <f>+L68-N68+P68-R68</f>
        <v>461915</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464929</v>
      </c>
      <c r="M71" s="332"/>
      <c r="N71" s="332">
        <f>SUM(N68:N70)</f>
        <v>3034</v>
      </c>
      <c r="O71" s="332"/>
      <c r="P71" s="332">
        <f>SUM(P68:P70)</f>
        <v>20</v>
      </c>
      <c r="Q71" s="332"/>
      <c r="R71" s="332">
        <f>SUM(R68:R70)</f>
        <v>0</v>
      </c>
      <c r="S71" s="332"/>
      <c r="T71" s="332">
        <f>SUM(T68:T70)</f>
        <v>461915</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464929</v>
      </c>
      <c r="M84" s="332"/>
      <c r="N84" s="332"/>
      <c r="O84" s="332"/>
      <c r="P84" s="332"/>
      <c r="Q84" s="332"/>
      <c r="R84" s="332"/>
      <c r="S84" s="332"/>
      <c r="T84" s="332">
        <f>SUM(T71:T83)</f>
        <v>461915</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41152</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3034-147</f>
        <v>2887</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2580+1354-476-225</f>
        <v>3233</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17+67</f>
        <v>84</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20</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289</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2887</v>
      </c>
      <c r="S96" s="279"/>
      <c r="T96" s="332">
        <f>SUM(T88:T95)</f>
        <v>3626</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-3</v>
      </c>
      <c r="S97" s="279"/>
      <c r="T97" s="332">
        <v>3</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10</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2884</v>
      </c>
      <c r="S100" s="279"/>
      <c r="T100" s="332">
        <f>T96+T98+T97+T99</f>
        <v>3639</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-179-164-6</f>
        <v>-349</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-67</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-1136+344</f>
        <v>-792</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-344</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-49</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-111</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-97</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-253</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147</v>
      </c>
      <c r="S114" s="279"/>
      <c r="T114" s="333">
        <v>-147</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-178</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-1240</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-2</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-15</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-2324</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-187</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-80</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-311</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-112</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-3031</v>
      </c>
      <c r="S131" s="332"/>
      <c r="T131" s="332">
        <f>SUM(T101:T129)</f>
        <v>-3639</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AUGUST 2012</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147</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147</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-147</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461915</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461915</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+'May 12'!Q182</f>
        <v>43461</v>
      </c>
      <c r="R180" s="333">
        <f>+'May 12'!R182</f>
        <v>5993</v>
      </c>
      <c r="S180" s="279"/>
      <c r="T180" s="333">
        <f>Q180+R180</f>
        <v>49454</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15</v>
      </c>
      <c r="R181" s="332">
        <v>0</v>
      </c>
      <c r="S181" s="279"/>
      <c r="T181" s="333">
        <f>Q181+R181</f>
        <v>15</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43476</v>
      </c>
      <c r="R182" s="333">
        <f>R181+R180</f>
        <v>5993</v>
      </c>
      <c r="S182" s="279"/>
      <c r="T182" s="333">
        <f>Q182+R182</f>
        <v>49469</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110587.48000000001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2.834507042253521</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1.59</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13.025</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8.1199999999999992</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5.4971428571428573</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4.0599999999999996</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AUGUST 2012</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41152</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2.63E-2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1.3754509750999261E-2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1.254549024900074E-2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7.8270015421709558E-3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14.97</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6.5257275842117825E-3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0.11459999999999999</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1</v>
      </c>
      <c r="R215" s="241">
        <v>77</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114</v>
      </c>
      <c r="R216" s="358">
        <f>+R268</f>
        <v>17744</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147</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'May 12'!R222+R221</f>
        <v>5167</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4</v>
      </c>
      <c r="R228" s="358">
        <v>550</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15.09</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3386</v>
      </c>
      <c r="Q235" s="378">
        <f t="shared" ref="Q235:Q242" si="2">P235/$P$244</f>
        <v>0.98803618325065656</v>
      </c>
      <c r="R235" s="237">
        <f t="shared" ref="R235:R242" si="3">+R247+R259+R271</f>
        <v>454154</v>
      </c>
      <c r="S235" s="378">
        <f t="shared" ref="S235:S242" si="4">R235/$R$244</f>
        <v>0.98319820746241193</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22</v>
      </c>
      <c r="Q236" s="378">
        <f t="shared" si="2"/>
        <v>6.4196089874525826E-3</v>
      </c>
      <c r="R236" s="333">
        <f t="shared" si="3"/>
        <v>5302</v>
      </c>
      <c r="S236" s="378">
        <f t="shared" si="4"/>
        <v>1.1478302285052444E-2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4</v>
      </c>
      <c r="Q237" s="378">
        <f t="shared" si="2"/>
        <v>1.1672016340822876E-3</v>
      </c>
      <c r="R237" s="333">
        <f t="shared" si="3"/>
        <v>444</v>
      </c>
      <c r="S237" s="378">
        <f t="shared" si="4"/>
        <v>9.6121580810322243E-4</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2</v>
      </c>
      <c r="Q238" s="378">
        <f t="shared" si="2"/>
        <v>5.8360081704114382E-4</v>
      </c>
      <c r="R238" s="333">
        <f t="shared" si="3"/>
        <v>213</v>
      </c>
      <c r="S238" s="378">
        <f t="shared" si="4"/>
        <v>4.6112379983330264E-4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5</v>
      </c>
      <c r="Q240" s="378">
        <f t="shared" si="2"/>
        <v>1.4590020426028597E-3</v>
      </c>
      <c r="R240" s="333">
        <f t="shared" si="3"/>
        <v>559</v>
      </c>
      <c r="S240" s="378">
        <f t="shared" si="4"/>
        <v>1.2101793620038319E-3</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6</v>
      </c>
      <c r="Q241" s="378">
        <f t="shared" si="2"/>
        <v>1.7508024511234317E-3</v>
      </c>
      <c r="R241" s="333">
        <f t="shared" si="3"/>
        <v>966</v>
      </c>
      <c r="S241" s="378">
        <f t="shared" si="4"/>
        <v>2.0912938527651191E-3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2</v>
      </c>
      <c r="Q242" s="378">
        <f t="shared" si="2"/>
        <v>5.8360081704114382E-4</v>
      </c>
      <c r="R242" s="333">
        <f t="shared" si="3"/>
        <v>277</v>
      </c>
      <c r="S242" s="383">
        <f t="shared" si="4"/>
        <v>5.9967742983016361E-4</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3427</v>
      </c>
      <c r="Q244" s="378">
        <f>SUM(Q235:Q243)</f>
        <v>0.99999999999999989</v>
      </c>
      <c r="R244" s="333">
        <f>SUM(R235:R243)</f>
        <v>461915</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3291</v>
      </c>
      <c r="Q247" s="244">
        <f t="shared" ref="Q247:Q254" si="5">P247/$P$256</f>
        <v>0.99335949290673109</v>
      </c>
      <c r="R247" s="237">
        <v>438940</v>
      </c>
      <c r="S247" s="244">
        <f t="shared" ref="S247:S254" si="6">R247/$R$256</f>
        <v>0.98822300420333609</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19</v>
      </c>
      <c r="Q248" s="378">
        <f t="shared" si="5"/>
        <v>5.7349833987322667E-3</v>
      </c>
      <c r="R248" s="333">
        <v>4839</v>
      </c>
      <c r="S248" s="378">
        <f t="shared" si="6"/>
        <v>1.089445281209264E-2</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3</v>
      </c>
      <c r="Q249" s="378">
        <f t="shared" si="5"/>
        <v>9.0552369453667371E-4</v>
      </c>
      <c r="R249" s="333">
        <v>392</v>
      </c>
      <c r="S249" s="378">
        <f t="shared" si="6"/>
        <v>8.8254298457125747E-4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3313</v>
      </c>
      <c r="Q256" s="378">
        <f>SUM(Q247:Q255)</f>
        <v>1</v>
      </c>
      <c r="R256" s="333">
        <f>SUM(R247:R255)</f>
        <v>444171</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95</v>
      </c>
      <c r="Q259" s="244">
        <f t="shared" ref="Q259:Q266" si="7">P259/$P$268</f>
        <v>0.83333333333333337</v>
      </c>
      <c r="R259" s="237">
        <v>15214</v>
      </c>
      <c r="S259" s="244">
        <f t="shared" ref="S259:S266" si="8">R259/$R$268</f>
        <v>0.85741659152389538</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3</v>
      </c>
      <c r="Q260" s="378">
        <f t="shared" si="7"/>
        <v>2.6315789473684209E-2</v>
      </c>
      <c r="R260" s="333">
        <v>463</v>
      </c>
      <c r="S260" s="378">
        <f t="shared" si="8"/>
        <v>2.6093327321911632E-2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v>
      </c>
      <c r="Q261" s="378">
        <f t="shared" si="7"/>
        <v>8.771929824561403E-3</v>
      </c>
      <c r="R261" s="333">
        <v>52</v>
      </c>
      <c r="S261" s="378">
        <f t="shared" si="8"/>
        <v>2.9305680793507666E-3</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2</v>
      </c>
      <c r="Q262" s="378">
        <f t="shared" si="7"/>
        <v>1.7543859649122806E-2</v>
      </c>
      <c r="R262" s="333">
        <v>213</v>
      </c>
      <c r="S262" s="378">
        <f t="shared" si="8"/>
        <v>1.2004057709648332E-2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5</v>
      </c>
      <c r="Q264" s="378">
        <f t="shared" si="7"/>
        <v>4.3859649122807015E-2</v>
      </c>
      <c r="R264" s="333">
        <v>559</v>
      </c>
      <c r="S264" s="378">
        <f t="shared" si="8"/>
        <v>3.1503606853020741E-2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6</v>
      </c>
      <c r="Q265" s="378">
        <f t="shared" si="7"/>
        <v>5.2631578947368418E-2</v>
      </c>
      <c r="R265" s="333">
        <v>966</v>
      </c>
      <c r="S265" s="378">
        <f t="shared" si="8"/>
        <v>5.4440937781785395E-2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2</v>
      </c>
      <c r="Q266" s="378">
        <f t="shared" si="7"/>
        <v>1.7543859649122806E-2</v>
      </c>
      <c r="R266" s="333">
        <v>277</v>
      </c>
      <c r="S266" s="378">
        <f t="shared" si="8"/>
        <v>1.5610910730387737E-2</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114</v>
      </c>
      <c r="Q268" s="378">
        <f>SUM(Q259:Q267)</f>
        <v>1.0000000000000002</v>
      </c>
      <c r="R268" s="333">
        <f>SUM(R259:R267)</f>
        <v>17744</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3427</v>
      </c>
      <c r="Q282" s="378"/>
      <c r="R282" s="382">
        <f>+R280+R268+R256</f>
        <v>461915</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AUGUST 2012</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hyperlinks>
    <hyperlink ref="J9" r:id="rId1" xr:uid="{00000000-0004-0000-1A00-000000000000}"/>
    <hyperlink ref="N232" r:id="rId2" xr:uid="{00000000-0004-0000-1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89CB31"/>
  </sheetPr>
  <dimension ref="A1:W293"/>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0.66139999999999999</v>
      </c>
      <c r="R16" s="222" t="s">
        <v>147</v>
      </c>
      <c r="S16" s="221">
        <v>0.33860000000000001</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41267</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176280.39</v>
      </c>
      <c r="E32" s="289"/>
      <c r="F32" s="290">
        <f>F31*F38</f>
        <v>105000</v>
      </c>
      <c r="G32" s="290"/>
      <c r="H32" s="295">
        <f>H31*H38</f>
        <v>222000</v>
      </c>
      <c r="I32" s="290"/>
      <c r="J32" s="290">
        <f>J31*J38</f>
        <v>28699.682199999999</v>
      </c>
      <c r="K32" s="290"/>
      <c r="L32" s="295">
        <f>L31*L38</f>
        <v>18053.025900000001</v>
      </c>
      <c r="M32" s="290"/>
      <c r="N32" s="296">
        <f>N31*N38</f>
        <v>47678.504300000001</v>
      </c>
      <c r="O32" s="290"/>
      <c r="P32" s="295">
        <f>P31*P38</f>
        <v>25459.395499999999</v>
      </c>
      <c r="Q32" s="290"/>
      <c r="R32" s="290"/>
      <c r="S32" s="291"/>
      <c r="T32" s="290"/>
      <c r="U32" s="292"/>
      <c r="V32" s="5"/>
    </row>
    <row r="33" spans="1:22" x14ac:dyDescent="0.35">
      <c r="A33" s="278"/>
      <c r="B33" s="286" t="s">
        <v>141</v>
      </c>
      <c r="C33" s="289"/>
      <c r="D33" s="299">
        <f>D37*D31</f>
        <v>172092.91</v>
      </c>
      <c r="E33" s="293"/>
      <c r="F33" s="297">
        <f>F37*F31</f>
        <v>105000</v>
      </c>
      <c r="G33" s="297"/>
      <c r="H33" s="300">
        <f>H31*H37</f>
        <v>222000</v>
      </c>
      <c r="I33" s="297"/>
      <c r="J33" s="297">
        <f>J31*J37</f>
        <v>28506.081000000002</v>
      </c>
      <c r="K33" s="297"/>
      <c r="L33" s="300">
        <f>L31*L37</f>
        <v>17931.244500000001</v>
      </c>
      <c r="M33" s="297"/>
      <c r="N33" s="297">
        <f>N31*N37</f>
        <v>47356.876499999998</v>
      </c>
      <c r="O33" s="297"/>
      <c r="P33" s="300">
        <f>P31*P37</f>
        <v>25287.6525</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101136.22637040001</v>
      </c>
      <c r="E35" s="289"/>
      <c r="F35" s="290">
        <f>F34*F38</f>
        <v>105000</v>
      </c>
      <c r="G35" s="290"/>
      <c r="H35" s="290">
        <f>H34*H38</f>
        <v>150000</v>
      </c>
      <c r="I35" s="290"/>
      <c r="J35" s="290">
        <f>J32</f>
        <v>28699.682199999999</v>
      </c>
      <c r="K35" s="290"/>
      <c r="L35" s="290">
        <f>L34*L38</f>
        <v>12198.290731199999</v>
      </c>
      <c r="M35" s="290"/>
      <c r="N35" s="290">
        <f>N32</f>
        <v>47678.504300000001</v>
      </c>
      <c r="O35" s="290"/>
      <c r="P35" s="290">
        <f>P34*P38</f>
        <v>17202.219192199998</v>
      </c>
      <c r="Q35" s="290"/>
      <c r="R35" s="290"/>
      <c r="S35" s="291"/>
      <c r="T35" s="290">
        <f>SUM(C35:P35)</f>
        <v>461914.92279380001</v>
      </c>
      <c r="U35" s="292"/>
      <c r="V35" s="5"/>
    </row>
    <row r="36" spans="1:22" x14ac:dyDescent="0.35">
      <c r="A36" s="283"/>
      <c r="B36" s="286" t="s">
        <v>298</v>
      </c>
      <c r="C36" s="293"/>
      <c r="D36" s="297">
        <f>D37*D34</f>
        <v>98733.770117599997</v>
      </c>
      <c r="E36" s="293"/>
      <c r="F36" s="297">
        <f>F37*F34</f>
        <v>105000</v>
      </c>
      <c r="G36" s="297"/>
      <c r="H36" s="297">
        <f>H37*H34</f>
        <v>150000</v>
      </c>
      <c r="I36" s="297"/>
      <c r="J36" s="297">
        <f>J37*J34</f>
        <v>28506.081000000002</v>
      </c>
      <c r="K36" s="297"/>
      <c r="L36" s="297">
        <f>L37*L34</f>
        <v>12116.003976</v>
      </c>
      <c r="M36" s="297"/>
      <c r="N36" s="297">
        <f>N37*N34</f>
        <v>47356.876499999998</v>
      </c>
      <c r="O36" s="297"/>
      <c r="P36" s="297">
        <f>P34*P37</f>
        <v>17086.177131</v>
      </c>
      <c r="Q36" s="322"/>
      <c r="R36" s="322"/>
      <c r="S36" s="291"/>
      <c r="T36" s="297">
        <f>SUM(C36:P36)</f>
        <v>458798.90872459998</v>
      </c>
      <c r="U36" s="292"/>
      <c r="V36" s="5"/>
    </row>
    <row r="37" spans="1:22" x14ac:dyDescent="0.35">
      <c r="A37" s="305"/>
      <c r="B37" s="306" t="s">
        <v>137</v>
      </c>
      <c r="C37" s="307"/>
      <c r="D37" s="308">
        <v>0.15644810000000001</v>
      </c>
      <c r="E37" s="309"/>
      <c r="F37" s="308">
        <v>1</v>
      </c>
      <c r="G37" s="308"/>
      <c r="H37" s="308">
        <v>1</v>
      </c>
      <c r="I37" s="308"/>
      <c r="J37" s="308">
        <v>0.91955100000000001</v>
      </c>
      <c r="K37" s="308"/>
      <c r="L37" s="308">
        <v>0.91955100000000001</v>
      </c>
      <c r="M37" s="308"/>
      <c r="N37" s="308">
        <v>0.91955100000000001</v>
      </c>
      <c r="O37" s="308"/>
      <c r="P37" s="308">
        <v>0.91955100000000001</v>
      </c>
      <c r="Q37" s="310"/>
      <c r="R37" s="310"/>
      <c r="S37" s="311"/>
      <c r="T37" s="311"/>
      <c r="U37" s="312"/>
      <c r="V37" s="5"/>
    </row>
    <row r="38" spans="1:22" x14ac:dyDescent="0.35">
      <c r="A38" s="305"/>
      <c r="B38" s="306" t="s">
        <v>138</v>
      </c>
      <c r="C38" s="307"/>
      <c r="D38" s="308">
        <v>0.16025490000000001</v>
      </c>
      <c r="E38" s="309"/>
      <c r="F38" s="308">
        <v>1</v>
      </c>
      <c r="G38" s="308"/>
      <c r="H38" s="308">
        <v>1</v>
      </c>
      <c r="I38" s="308"/>
      <c r="J38" s="308">
        <v>0.92579619999999996</v>
      </c>
      <c r="K38" s="308"/>
      <c r="L38" s="308">
        <v>0.92579619999999996</v>
      </c>
      <c r="M38" s="308"/>
      <c r="N38" s="308">
        <v>0.92579619999999996</v>
      </c>
      <c r="O38" s="308"/>
      <c r="P38" s="308">
        <v>0.92579619999999996</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2.98E-3</v>
      </c>
      <c r="E40" s="279"/>
      <c r="F40" s="316">
        <v>9.7313E-3</v>
      </c>
      <c r="G40" s="315"/>
      <c r="H40" s="316">
        <v>5.7200000000000003E-3</v>
      </c>
      <c r="I40" s="315"/>
      <c r="J40" s="316">
        <v>1.1931300000000001E-2</v>
      </c>
      <c r="K40" s="315"/>
      <c r="L40" s="316">
        <v>7.92E-3</v>
      </c>
      <c r="M40" s="315"/>
      <c r="N40" s="316">
        <v>1.75313E-2</v>
      </c>
      <c r="O40" s="315"/>
      <c r="P40" s="316">
        <v>1.3520000000000001E-2</v>
      </c>
      <c r="Q40" s="315"/>
      <c r="R40" s="316"/>
      <c r="S40" s="281"/>
      <c r="T40" s="287"/>
      <c r="U40" s="282"/>
      <c r="V40" s="5"/>
    </row>
    <row r="41" spans="1:22" x14ac:dyDescent="0.35">
      <c r="A41" s="278"/>
      <c r="B41" s="279" t="s">
        <v>13</v>
      </c>
      <c r="C41" s="279"/>
      <c r="D41" s="316">
        <v>3.2950000000000002E-3</v>
      </c>
      <c r="E41" s="279"/>
      <c r="F41" s="316">
        <v>1.2708799999999999E-2</v>
      </c>
      <c r="G41" s="315"/>
      <c r="H41" s="316">
        <v>9.8200000000000006E-3</v>
      </c>
      <c r="I41" s="315"/>
      <c r="J41" s="316">
        <v>1.49088E-2</v>
      </c>
      <c r="K41" s="315"/>
      <c r="L41" s="316">
        <v>1.2019999999999999E-2</v>
      </c>
      <c r="M41" s="315"/>
      <c r="N41" s="316">
        <v>2.0508800000000001E-2</v>
      </c>
      <c r="O41" s="315"/>
      <c r="P41" s="316">
        <v>1.762E-2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7.6869E-3</v>
      </c>
      <c r="E43" s="279"/>
      <c r="F43" s="316">
        <f>+F40</f>
        <v>9.7313E-3</v>
      </c>
      <c r="G43" s="315"/>
      <c r="H43" s="316">
        <v>1.0181300000000001E-2</v>
      </c>
      <c r="I43" s="315"/>
      <c r="J43" s="316">
        <f>+J40</f>
        <v>1.1931300000000001E-2</v>
      </c>
      <c r="K43" s="315"/>
      <c r="L43" s="316">
        <v>1.26613E-2</v>
      </c>
      <c r="M43" s="315"/>
      <c r="N43" s="316">
        <f>+N40</f>
        <v>1.75313E-2</v>
      </c>
      <c r="O43" s="315"/>
      <c r="P43" s="316">
        <v>1.8761300000000002E-2</v>
      </c>
      <c r="Q43" s="287"/>
      <c r="R43" s="287"/>
      <c r="S43" s="281"/>
      <c r="T43" s="315">
        <f>SUMPRODUCT(D43:P43,D35:P35)/T35</f>
        <v>1.0785272799561764E-2</v>
      </c>
      <c r="U43" s="282"/>
      <c r="V43" s="5"/>
    </row>
    <row r="44" spans="1:22" x14ac:dyDescent="0.35">
      <c r="A44" s="278"/>
      <c r="B44" s="279" t="s">
        <v>301</v>
      </c>
      <c r="C44" s="317"/>
      <c r="D44" s="316">
        <v>1.0664399999999999E-2</v>
      </c>
      <c r="E44" s="279"/>
      <c r="F44" s="316">
        <f>+F41</f>
        <v>1.2708799999999999E-2</v>
      </c>
      <c r="G44" s="315"/>
      <c r="H44" s="316">
        <v>1.31588E-2</v>
      </c>
      <c r="I44" s="315"/>
      <c r="J44" s="316">
        <f>+J41</f>
        <v>1.49088E-2</v>
      </c>
      <c r="K44" s="315"/>
      <c r="L44" s="316">
        <v>1.5638800000000001E-2</v>
      </c>
      <c r="M44" s="315"/>
      <c r="N44" s="316">
        <f>+N41</f>
        <v>2.0508800000000001E-2</v>
      </c>
      <c r="O44" s="315"/>
      <c r="P44" s="316">
        <v>2.1738799999999999E-2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0.29701755241539629</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290">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41260</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94</v>
      </c>
      <c r="Q57" s="279"/>
      <c r="R57" s="327">
        <v>41075</v>
      </c>
      <c r="S57" s="328"/>
      <c r="T57" s="327">
        <v>41168</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41169</v>
      </c>
      <c r="S58" s="328"/>
      <c r="T58" s="327">
        <v>41259</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41246</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323</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461915</v>
      </c>
      <c r="M68" s="332"/>
      <c r="N68" s="332">
        <f>3116+29+27</f>
        <v>3172</v>
      </c>
      <c r="O68" s="332"/>
      <c r="P68" s="332">
        <f>29+27</f>
        <v>56</v>
      </c>
      <c r="Q68" s="332"/>
      <c r="R68" s="332">
        <v>0</v>
      </c>
      <c r="S68" s="332"/>
      <c r="T68" s="333">
        <f>+L68-N68+P68-R68</f>
        <v>458799</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461915</v>
      </c>
      <c r="M71" s="332"/>
      <c r="N71" s="332">
        <f>SUM(N68:N70)</f>
        <v>3172</v>
      </c>
      <c r="O71" s="332"/>
      <c r="P71" s="332">
        <f>SUM(P68:P70)</f>
        <v>56</v>
      </c>
      <c r="Q71" s="332"/>
      <c r="R71" s="332">
        <f>SUM(R68:R70)</f>
        <v>0</v>
      </c>
      <c r="S71" s="332"/>
      <c r="T71" s="332">
        <f>SUM(T68:T70)</f>
        <v>458799</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461915</v>
      </c>
      <c r="M84" s="332"/>
      <c r="N84" s="332"/>
      <c r="O84" s="332"/>
      <c r="P84" s="332"/>
      <c r="Q84" s="332"/>
      <c r="R84" s="332"/>
      <c r="S84" s="332"/>
      <c r="T84" s="332">
        <f>SUM(T71:T83)</f>
        <v>458799</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+R197</f>
        <v>41243</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3172-116</f>
        <v>3056</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2213+1322-375-302</f>
        <v>2858</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37+7</f>
        <v>44</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16</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298</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3056</v>
      </c>
      <c r="S96" s="279"/>
      <c r="T96" s="332">
        <f>SUM(T88:T95)</f>
        <v>3216</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-19</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3056</v>
      </c>
      <c r="S100" s="279"/>
      <c r="T100" s="332">
        <f>T96+T98+T97+T99</f>
        <v>3197</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279" t="s">
        <v>35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279" t="s">
        <v>246</v>
      </c>
      <c r="C104" s="279"/>
      <c r="D104" s="279"/>
      <c r="E104" s="279"/>
      <c r="F104" s="279"/>
      <c r="G104" s="279"/>
      <c r="H104" s="279"/>
      <c r="I104" s="279"/>
      <c r="J104" s="279"/>
      <c r="K104" s="279"/>
      <c r="L104" s="279"/>
      <c r="M104" s="279"/>
      <c r="N104" s="279"/>
      <c r="O104" s="279"/>
      <c r="P104" s="279"/>
      <c r="Q104" s="279"/>
      <c r="R104" s="279"/>
      <c r="S104" s="279"/>
      <c r="T104" s="333">
        <f>-176-206-6</f>
        <v>-388</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-70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-830+255</f>
        <v>-575</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-255</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-39</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-85</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-81</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-208</v>
      </c>
      <c r="U112" s="282"/>
      <c r="V112" s="5"/>
      <c r="W112" s="109"/>
    </row>
    <row r="113" spans="1:22" x14ac:dyDescent="0.35">
      <c r="A113" s="278">
        <v>7</v>
      </c>
      <c r="B113" s="279" t="s">
        <v>36</v>
      </c>
      <c r="C113" s="279"/>
      <c r="D113" s="279"/>
      <c r="E113" s="279"/>
      <c r="F113" s="279"/>
      <c r="G113" s="279"/>
      <c r="H113" s="279"/>
      <c r="I113" s="279"/>
      <c r="J113" s="279"/>
      <c r="K113" s="279"/>
      <c r="L113" s="279"/>
      <c r="M113" s="279"/>
      <c r="N113" s="279"/>
      <c r="O113" s="279"/>
      <c r="P113" s="279"/>
      <c r="Q113" s="279"/>
      <c r="R113" s="279"/>
      <c r="S113" s="279"/>
      <c r="T113" s="333">
        <v>-9</v>
      </c>
      <c r="U113" s="282"/>
      <c r="V113" s="5"/>
    </row>
    <row r="114" spans="1:22" x14ac:dyDescent="0.35">
      <c r="A114" s="278">
        <f t="shared" ref="A114:A119" si="0">+A113+1</f>
        <v>8</v>
      </c>
      <c r="B114" s="279" t="s">
        <v>47</v>
      </c>
      <c r="C114" s="279"/>
      <c r="D114" s="279"/>
      <c r="E114" s="279"/>
      <c r="F114" s="279"/>
      <c r="G114" s="279"/>
      <c r="H114" s="279"/>
      <c r="I114" s="279"/>
      <c r="J114" s="279"/>
      <c r="K114" s="279"/>
      <c r="L114" s="279"/>
      <c r="M114" s="279"/>
      <c r="N114" s="279"/>
      <c r="O114" s="279"/>
      <c r="P114" s="279"/>
      <c r="Q114" s="279"/>
      <c r="R114" s="332">
        <f>-T114</f>
        <v>116</v>
      </c>
      <c r="S114" s="279"/>
      <c r="T114" s="333">
        <v>-116</v>
      </c>
      <c r="U114" s="282"/>
      <c r="V114" s="5"/>
    </row>
    <row r="115" spans="1:22" x14ac:dyDescent="0.35">
      <c r="A115" s="278">
        <f t="shared" si="0"/>
        <v>9</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10</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11</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12</v>
      </c>
      <c r="B118" s="279" t="s">
        <v>156</v>
      </c>
      <c r="C118" s="279"/>
      <c r="D118" s="279"/>
      <c r="E118" s="279"/>
      <c r="F118" s="279"/>
      <c r="G118" s="279"/>
      <c r="H118" s="279"/>
      <c r="I118" s="279"/>
      <c r="J118" s="279"/>
      <c r="K118" s="279"/>
      <c r="L118" s="279"/>
      <c r="M118" s="279"/>
      <c r="N118" s="279"/>
      <c r="O118" s="279"/>
      <c r="P118" s="279"/>
      <c r="Q118" s="279"/>
      <c r="R118" s="279"/>
      <c r="S118" s="279"/>
      <c r="T118" s="333">
        <v>-175</v>
      </c>
      <c r="U118" s="282"/>
      <c r="V118" s="5"/>
    </row>
    <row r="119" spans="1:22" x14ac:dyDescent="0.35">
      <c r="A119" s="278">
        <f t="shared" si="0"/>
        <v>13</v>
      </c>
      <c r="B119" s="279" t="s">
        <v>133</v>
      </c>
      <c r="C119" s="279"/>
      <c r="D119" s="279"/>
      <c r="E119" s="279"/>
      <c r="F119" s="279"/>
      <c r="G119" s="279"/>
      <c r="H119" s="279"/>
      <c r="I119" s="279"/>
      <c r="J119" s="279"/>
      <c r="K119" s="279"/>
      <c r="L119" s="279"/>
      <c r="M119" s="279"/>
      <c r="N119" s="279"/>
      <c r="O119" s="279"/>
      <c r="P119" s="279"/>
      <c r="Q119" s="279"/>
      <c r="R119" s="279"/>
      <c r="S119" s="279"/>
      <c r="T119" s="333">
        <f>-T100-SUM(T102:T118)</f>
        <v>-1193</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-2</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-27</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-27</v>
      </c>
      <c r="S123" s="332"/>
      <c r="T123" s="333"/>
      <c r="U123" s="282"/>
      <c r="V123" s="5"/>
    </row>
    <row r="124" spans="1:22" x14ac:dyDescent="0.35">
      <c r="A124" s="278"/>
      <c r="B124" s="279" t="s">
        <v>231</v>
      </c>
      <c r="C124" s="279"/>
      <c r="D124" s="279"/>
      <c r="E124" s="279"/>
      <c r="F124" s="279"/>
      <c r="G124" s="279"/>
      <c r="H124" s="279"/>
      <c r="I124" s="279"/>
      <c r="J124" s="279"/>
      <c r="K124" s="279"/>
      <c r="L124" s="279"/>
      <c r="M124" s="279"/>
      <c r="N124" s="279"/>
      <c r="O124" s="279"/>
      <c r="P124" s="279"/>
      <c r="Q124" s="279"/>
      <c r="R124" s="332">
        <v>-2402</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-194</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-82</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-322</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-116</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-3172</v>
      </c>
      <c r="S131" s="332"/>
      <c r="T131" s="332">
        <f>SUM(T101:T129)</f>
        <v>-3197</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R100+R131+R114</f>
        <v>0</v>
      </c>
      <c r="S132" s="332"/>
      <c r="T132" s="332">
        <f>T100+T131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B64</f>
        <v>PM10 INVESTOR REPORT QUARTER ENDING NOVEMBER 2012</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2300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267</v>
      </c>
      <c r="C154" s="279"/>
      <c r="D154" s="279"/>
      <c r="E154" s="279"/>
      <c r="F154" s="279"/>
      <c r="G154" s="279"/>
      <c r="H154" s="279"/>
      <c r="I154" s="279"/>
      <c r="J154" s="279"/>
      <c r="K154" s="279"/>
      <c r="L154" s="279"/>
      <c r="M154" s="279"/>
      <c r="N154" s="279"/>
      <c r="O154" s="279"/>
      <c r="P154" s="279"/>
      <c r="Q154" s="279"/>
      <c r="R154" s="279"/>
      <c r="S154" s="279"/>
      <c r="T154" s="333">
        <v>2300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116</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116</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-116</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f>-T99</f>
        <v>19</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T71</f>
        <v>458799</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T84</f>
        <v>458799</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+'August 12'!Q182</f>
        <v>43476</v>
      </c>
      <c r="R180" s="333">
        <f>+'August 12'!R182</f>
        <v>5993</v>
      </c>
      <c r="S180" s="279"/>
      <c r="T180" s="333">
        <f>Q180+R180</f>
        <v>49469</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27</v>
      </c>
      <c r="R181" s="332">
        <v>2</v>
      </c>
      <c r="S181" s="279"/>
      <c r="T181" s="333">
        <f>Q181+R181</f>
        <v>29</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43503</v>
      </c>
      <c r="R182" s="333">
        <f>R181+R180</f>
        <v>5995</v>
      </c>
      <c r="S182" s="279"/>
      <c r="T182" s="333">
        <f>Q182+R182</f>
        <v>49498</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110558.48000000001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(T100+T102+T103+T104+T105+T106)/-(T107+T108)</f>
        <v>3.2963855421686747</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1.6</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(T100+T102+T103+T104+T105+T106+T107+T108)/-(T109+T110)</f>
        <v>15.370967741935484</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8.1999999999999993</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(T100+T102+T103+T104+T105+T106+T107+T108+T109+T110)/-(T111+T112)</f>
        <v>6.1660899653979238</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4.0999999999999996</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NOVEMBER 2012</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41243</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2.3359999999999999E-2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1.0785272799561764E-2</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1.2574727200438235E-2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+T100/L68</f>
        <v>6.9211867984369417E-3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14.73</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+N68/L68</f>
        <v>6.8670642867194182E-3</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0.11169999999999999</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1</v>
      </c>
      <c r="R215" s="241">
        <v>77</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111</v>
      </c>
      <c r="R216" s="358">
        <f>+R268</f>
        <v>17357</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116</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'August 12'!R222+R221</f>
        <v>5283</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4</v>
      </c>
      <c r="R228" s="358">
        <v>470</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4.6100000000000003</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3372</v>
      </c>
      <c r="Q235" s="378">
        <f t="shared" ref="Q235:Q242" si="2">P235/$P$244</f>
        <v>0.99059929494712107</v>
      </c>
      <c r="R235" s="237">
        <f t="shared" ref="R235:R242" si="3">+R247+R259+R271</f>
        <v>452087</v>
      </c>
      <c r="S235" s="378">
        <f t="shared" ref="S235:S242" si="4">R235/$R$244</f>
        <v>0.98537049993570169</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20</v>
      </c>
      <c r="Q236" s="378">
        <f t="shared" si="2"/>
        <v>5.8754406580493537E-3</v>
      </c>
      <c r="R236" s="333">
        <f t="shared" si="3"/>
        <v>4841</v>
      </c>
      <c r="S236" s="378">
        <f t="shared" si="4"/>
        <v>1.0551461533264021E-2</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4</v>
      </c>
      <c r="Q237" s="378">
        <f t="shared" si="2"/>
        <v>1.1750881316098707E-3</v>
      </c>
      <c r="R237" s="333">
        <f t="shared" si="3"/>
        <v>640</v>
      </c>
      <c r="S237" s="378">
        <f t="shared" si="4"/>
        <v>1.394946370850852E-3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0</v>
      </c>
      <c r="Q238" s="378">
        <f t="shared" si="2"/>
        <v>0</v>
      </c>
      <c r="R238" s="333">
        <f t="shared" si="3"/>
        <v>0</v>
      </c>
      <c r="S238" s="378">
        <f t="shared" si="4"/>
        <v>0</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1</v>
      </c>
      <c r="Q239" s="378">
        <f t="shared" si="2"/>
        <v>2.9377203290246768E-4</v>
      </c>
      <c r="R239" s="333">
        <f t="shared" si="3"/>
        <v>128</v>
      </c>
      <c r="S239" s="378">
        <f t="shared" si="4"/>
        <v>2.7898927417017039E-4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1</v>
      </c>
      <c r="Q240" s="378">
        <f t="shared" si="2"/>
        <v>2.9377203290246768E-4</v>
      </c>
      <c r="R240" s="333">
        <f t="shared" si="3"/>
        <v>110</v>
      </c>
      <c r="S240" s="378">
        <f t="shared" si="4"/>
        <v>2.3975640748999017E-4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5</v>
      </c>
      <c r="Q241" s="378">
        <f t="shared" si="2"/>
        <v>1.4688601645123384E-3</v>
      </c>
      <c r="R241" s="333">
        <f t="shared" si="3"/>
        <v>856</v>
      </c>
      <c r="S241" s="378">
        <f t="shared" si="4"/>
        <v>1.8657407710130143E-3</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1</v>
      </c>
      <c r="Q242" s="378">
        <f t="shared" si="2"/>
        <v>2.9377203290246768E-4</v>
      </c>
      <c r="R242" s="333">
        <f t="shared" si="3"/>
        <v>137</v>
      </c>
      <c r="S242" s="383">
        <f t="shared" si="4"/>
        <v>2.9860570751026047E-4</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3404</v>
      </c>
      <c r="Q244" s="378">
        <f>SUM(Q235:Q243)</f>
        <v>1</v>
      </c>
      <c r="R244" s="333">
        <f>SUM(R235:R243)</f>
        <v>458799</v>
      </c>
      <c r="S244" s="378">
        <f>SUM(S235:S243)</f>
        <v>0.99999999999999989</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3278</v>
      </c>
      <c r="Q247" s="244">
        <f t="shared" ref="Q247:Q254" si="5">P247/$P$256</f>
        <v>0.99544488308533252</v>
      </c>
      <c r="R247" s="237">
        <v>437053</v>
      </c>
      <c r="S247" s="244">
        <f t="shared" ref="S247:S254" si="6">R247/$R$256</f>
        <v>0.99005758400877131</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14</v>
      </c>
      <c r="Q248" s="378">
        <f t="shared" si="5"/>
        <v>4.2514424536896451E-3</v>
      </c>
      <c r="R248" s="333">
        <v>4240</v>
      </c>
      <c r="S248" s="378">
        <f t="shared" si="6"/>
        <v>9.6048858060628576E-3</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1</v>
      </c>
      <c r="Q249" s="378">
        <f t="shared" si="5"/>
        <v>3.0367446097783179E-4</v>
      </c>
      <c r="R249" s="333">
        <v>149</v>
      </c>
      <c r="S249" s="378">
        <f t="shared" si="6"/>
        <v>3.3753018516588816E-4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3293</v>
      </c>
      <c r="Q256" s="378">
        <f>SUM(Q247:Q255)</f>
        <v>1</v>
      </c>
      <c r="R256" s="333">
        <f>SUM(R247:R255)</f>
        <v>441442</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94</v>
      </c>
      <c r="Q259" s="244">
        <f t="shared" ref="Q259:Q266" si="7">P259/$P$268</f>
        <v>0.84684684684684686</v>
      </c>
      <c r="R259" s="237">
        <v>15034</v>
      </c>
      <c r="S259" s="244">
        <f t="shared" ref="S259:S266" si="8">R259/$R$268</f>
        <v>0.8661635075185804</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6</v>
      </c>
      <c r="Q260" s="378">
        <f t="shared" si="7"/>
        <v>5.4054054054054057E-2</v>
      </c>
      <c r="R260" s="333">
        <v>601</v>
      </c>
      <c r="S260" s="378">
        <f t="shared" si="8"/>
        <v>3.4625799389295386E-2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3</v>
      </c>
      <c r="Q261" s="378">
        <f t="shared" si="7"/>
        <v>2.7027027027027029E-2</v>
      </c>
      <c r="R261" s="333">
        <v>491</v>
      </c>
      <c r="S261" s="378">
        <f t="shared" si="8"/>
        <v>2.8288298669124849E-2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1</v>
      </c>
      <c r="Q263" s="378">
        <f t="shared" si="7"/>
        <v>9.0090090090090089E-3</v>
      </c>
      <c r="R263" s="333">
        <v>128</v>
      </c>
      <c r="S263" s="378">
        <f t="shared" si="8"/>
        <v>7.3745462925620788E-3</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1</v>
      </c>
      <c r="Q264" s="378">
        <f t="shared" si="7"/>
        <v>9.0090090090090089E-3</v>
      </c>
      <c r="R264" s="333">
        <v>110</v>
      </c>
      <c r="S264" s="378">
        <f t="shared" si="8"/>
        <v>6.3375007201705363E-3</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5</v>
      </c>
      <c r="Q265" s="378">
        <f t="shared" si="7"/>
        <v>4.5045045045045043E-2</v>
      </c>
      <c r="R265" s="333">
        <v>856</v>
      </c>
      <c r="S265" s="378">
        <f t="shared" si="8"/>
        <v>4.9317278331508903E-2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1</v>
      </c>
      <c r="Q266" s="378">
        <f t="shared" si="7"/>
        <v>9.0090090090090089E-3</v>
      </c>
      <c r="R266" s="333">
        <v>137</v>
      </c>
      <c r="S266" s="378">
        <f t="shared" si="8"/>
        <v>7.89306907875785E-3</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111</v>
      </c>
      <c r="Q268" s="378">
        <f>SUM(Q259:Q267)</f>
        <v>1</v>
      </c>
      <c r="R268" s="333">
        <f>SUM(R259:R267)</f>
        <v>17357</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3404</v>
      </c>
      <c r="Q282" s="378"/>
      <c r="R282" s="382">
        <f>+R280+R268+R256</f>
        <v>458799</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48"/>
      <c r="C286" s="229"/>
      <c r="D286" s="229"/>
      <c r="E286" s="229"/>
      <c r="F286" s="229"/>
      <c r="G286" s="229"/>
      <c r="H286" s="229"/>
      <c r="I286" s="248"/>
      <c r="J286" s="248"/>
      <c r="K286" s="248"/>
      <c r="L286" s="248"/>
      <c r="M286" s="248"/>
      <c r="N286" s="248"/>
      <c r="O286" s="248"/>
      <c r="P286" s="248"/>
      <c r="Q286" s="248"/>
      <c r="R286" s="248"/>
      <c r="S286" s="248"/>
      <c r="T286" s="248"/>
      <c r="U286" s="248"/>
      <c r="V286" s="5"/>
    </row>
    <row r="287" spans="1:22" x14ac:dyDescent="0.35">
      <c r="A287" s="213"/>
      <c r="B287" s="216" t="s">
        <v>96</v>
      </c>
      <c r="C287" s="216"/>
      <c r="D287" s="216"/>
      <c r="E287" s="216"/>
      <c r="F287" s="249" t="s">
        <v>155</v>
      </c>
      <c r="G287" s="216"/>
      <c r="H287" s="216" t="s">
        <v>160</v>
      </c>
      <c r="I287" s="248"/>
      <c r="J287" s="248"/>
      <c r="K287" s="248"/>
      <c r="L287" s="248"/>
      <c r="M287" s="248"/>
      <c r="N287" s="248"/>
      <c r="O287" s="248"/>
      <c r="P287" s="248"/>
      <c r="Q287" s="248"/>
      <c r="R287" s="248"/>
      <c r="S287" s="248"/>
      <c r="T287" s="248"/>
      <c r="U287" s="248"/>
      <c r="V287" s="5"/>
    </row>
    <row r="288" spans="1:22" x14ac:dyDescent="0.35">
      <c r="A288" s="213"/>
      <c r="B288" s="216" t="s">
        <v>277</v>
      </c>
      <c r="C288" s="216"/>
      <c r="D288" s="216"/>
      <c r="E288" s="216"/>
      <c r="F288" s="249" t="s">
        <v>278</v>
      </c>
      <c r="G288" s="216"/>
      <c r="H288" s="216" t="s">
        <v>279</v>
      </c>
      <c r="I288" s="248"/>
      <c r="J288" s="248"/>
      <c r="K288" s="248"/>
      <c r="L288" s="248"/>
      <c r="M288" s="248"/>
      <c r="N288" s="248"/>
      <c r="O288" s="248"/>
      <c r="P288" s="248"/>
      <c r="Q288" s="248"/>
      <c r="R288" s="248"/>
      <c r="S288" s="248"/>
      <c r="T288" s="248"/>
      <c r="U288" s="248"/>
      <c r="V288" s="5"/>
    </row>
    <row r="289" spans="1:22" x14ac:dyDescent="0.35">
      <c r="A289" s="213"/>
      <c r="B289" s="216" t="s">
        <v>97</v>
      </c>
      <c r="C289" s="216"/>
      <c r="D289" s="216"/>
      <c r="E289" s="216"/>
      <c r="F289" s="249" t="s">
        <v>154</v>
      </c>
      <c r="G289" s="216"/>
      <c r="H289" s="216" t="s">
        <v>161</v>
      </c>
      <c r="I289" s="248"/>
      <c r="J289" s="248"/>
      <c r="K289" s="248"/>
      <c r="L289" s="248"/>
      <c r="M289" s="248"/>
      <c r="N289" s="248"/>
      <c r="O289" s="248"/>
      <c r="P289" s="248"/>
      <c r="Q289" s="248"/>
      <c r="R289" s="248"/>
      <c r="S289" s="248"/>
      <c r="T289" s="248"/>
      <c r="U289" s="248"/>
      <c r="V289" s="5"/>
    </row>
    <row r="290" spans="1:22" x14ac:dyDescent="0.35">
      <c r="A290" s="213"/>
      <c r="B290" s="216"/>
      <c r="C290" s="216"/>
      <c r="D290" s="216"/>
      <c r="E290" s="216"/>
      <c r="F290" s="216"/>
      <c r="G290" s="250"/>
      <c r="H290" s="248"/>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ht="18" thickBot="1" x14ac:dyDescent="0.4">
      <c r="A292" s="213"/>
      <c r="B292" s="251" t="str">
        <f>B196</f>
        <v>PM10 INVESTOR REPORT QUARTER ENDING NOVEMBER 2012</v>
      </c>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x14ac:dyDescent="0.3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hyperlinks>
    <hyperlink ref="J9" r:id="rId1" xr:uid="{00000000-0004-0000-1B00-000000000000}"/>
    <hyperlink ref="N232" r:id="rId2" xr:uid="{00000000-0004-0000-1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5" max="14" man="1"/>
    <brk id="196"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0.66200000000000003</v>
      </c>
      <c r="R16" s="222" t="s">
        <v>147</v>
      </c>
      <c r="S16" s="221">
        <v>0.33800000000000002</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41355</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172092.91</v>
      </c>
      <c r="E32" s="289"/>
      <c r="F32" s="290">
        <f>F31*F38</f>
        <v>105000</v>
      </c>
      <c r="G32" s="290"/>
      <c r="H32" s="295">
        <f>H31*H38</f>
        <v>222000</v>
      </c>
      <c r="I32" s="290"/>
      <c r="J32" s="290">
        <f>J31*J38</f>
        <v>28506.081000000002</v>
      </c>
      <c r="K32" s="290"/>
      <c r="L32" s="295">
        <f>L31*L38</f>
        <v>17931.244500000001</v>
      </c>
      <c r="M32" s="290"/>
      <c r="N32" s="296">
        <f>N31*N38</f>
        <v>47356.876499999998</v>
      </c>
      <c r="O32" s="290"/>
      <c r="P32" s="295">
        <f>P31*P38</f>
        <v>25287.6525</v>
      </c>
      <c r="Q32" s="290"/>
      <c r="R32" s="290"/>
      <c r="S32" s="291"/>
      <c r="T32" s="290"/>
      <c r="U32" s="292"/>
      <c r="V32" s="5"/>
    </row>
    <row r="33" spans="1:22" x14ac:dyDescent="0.35">
      <c r="A33" s="278"/>
      <c r="B33" s="286" t="s">
        <v>141</v>
      </c>
      <c r="C33" s="289"/>
      <c r="D33" s="299">
        <f>D37*D31</f>
        <v>169118.07</v>
      </c>
      <c r="E33" s="293"/>
      <c r="F33" s="297">
        <f>F37*F31</f>
        <v>105000</v>
      </c>
      <c r="G33" s="297"/>
      <c r="H33" s="300">
        <f>H31*H37</f>
        <v>222000</v>
      </c>
      <c r="I33" s="297"/>
      <c r="J33" s="297">
        <f>J31*J37</f>
        <v>28368.540199999999</v>
      </c>
      <c r="K33" s="297"/>
      <c r="L33" s="300">
        <f>L31*L37</f>
        <v>17844.726900000001</v>
      </c>
      <c r="M33" s="297"/>
      <c r="N33" s="297">
        <f>N31*N37</f>
        <v>47128.381300000001</v>
      </c>
      <c r="O33" s="297"/>
      <c r="P33" s="300">
        <f>P31*P37</f>
        <v>25165.640500000001</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98733.770117599997</v>
      </c>
      <c r="E35" s="289"/>
      <c r="F35" s="290">
        <f>F34*F38</f>
        <v>105000</v>
      </c>
      <c r="G35" s="290"/>
      <c r="H35" s="290">
        <f>H34*H38</f>
        <v>150000</v>
      </c>
      <c r="I35" s="290"/>
      <c r="J35" s="290">
        <f>J32</f>
        <v>28506.081000000002</v>
      </c>
      <c r="K35" s="290"/>
      <c r="L35" s="290">
        <f>L34*L38</f>
        <v>12116.003976</v>
      </c>
      <c r="M35" s="290"/>
      <c r="N35" s="290">
        <f>N32</f>
        <v>47356.876499999998</v>
      </c>
      <c r="O35" s="290"/>
      <c r="P35" s="290">
        <f>P34*P38</f>
        <v>17086.177131</v>
      </c>
      <c r="Q35" s="290"/>
      <c r="R35" s="290"/>
      <c r="S35" s="291"/>
      <c r="T35" s="290">
        <f>SUM(C35:P35)</f>
        <v>458798.90872459998</v>
      </c>
      <c r="U35" s="292"/>
      <c r="V35" s="5"/>
    </row>
    <row r="36" spans="1:22" x14ac:dyDescent="0.35">
      <c r="A36" s="283"/>
      <c r="B36" s="286" t="s">
        <v>298</v>
      </c>
      <c r="C36" s="293"/>
      <c r="D36" s="297">
        <f>D37*D34</f>
        <v>97027.034095200012</v>
      </c>
      <c r="E36" s="293"/>
      <c r="F36" s="297">
        <f>F37*F34</f>
        <v>105000</v>
      </c>
      <c r="G36" s="297"/>
      <c r="H36" s="297">
        <f>H37*H34</f>
        <v>150000</v>
      </c>
      <c r="I36" s="297"/>
      <c r="J36" s="297">
        <f>J37*J34</f>
        <v>28368.540199999999</v>
      </c>
      <c r="K36" s="297"/>
      <c r="L36" s="297">
        <f>L37*L34</f>
        <v>12057.5446992</v>
      </c>
      <c r="M36" s="297"/>
      <c r="N36" s="297">
        <f>N37*N34</f>
        <v>47128.381300000001</v>
      </c>
      <c r="O36" s="297"/>
      <c r="P36" s="297">
        <f>P34*P37</f>
        <v>17003.7369502</v>
      </c>
      <c r="Q36" s="322"/>
      <c r="R36" s="322"/>
      <c r="S36" s="291"/>
      <c r="T36" s="297">
        <f>SUM(C36:P36)</f>
        <v>456585.23724460002</v>
      </c>
      <c r="U36" s="292"/>
      <c r="V36" s="5"/>
    </row>
    <row r="37" spans="1:22" x14ac:dyDescent="0.35">
      <c r="A37" s="305"/>
      <c r="B37" s="306" t="s">
        <v>137</v>
      </c>
      <c r="C37" s="307"/>
      <c r="D37" s="308">
        <v>0.15374370000000001</v>
      </c>
      <c r="E37" s="309"/>
      <c r="F37" s="308">
        <v>1</v>
      </c>
      <c r="G37" s="308"/>
      <c r="H37" s="308">
        <v>1</v>
      </c>
      <c r="I37" s="308"/>
      <c r="J37" s="308">
        <v>0.91511419999999999</v>
      </c>
      <c r="K37" s="308"/>
      <c r="L37" s="308">
        <v>0.91511419999999999</v>
      </c>
      <c r="M37" s="308"/>
      <c r="N37" s="308">
        <v>0.91511419999999999</v>
      </c>
      <c r="O37" s="308"/>
      <c r="P37" s="308">
        <v>0.91511419999999999</v>
      </c>
      <c r="Q37" s="310"/>
      <c r="R37" s="310"/>
      <c r="S37" s="311"/>
      <c r="T37" s="311"/>
      <c r="U37" s="312"/>
      <c r="V37" s="5"/>
    </row>
    <row r="38" spans="1:22" x14ac:dyDescent="0.35">
      <c r="A38" s="305"/>
      <c r="B38" s="306" t="s">
        <v>138</v>
      </c>
      <c r="C38" s="307"/>
      <c r="D38" s="308">
        <v>0.15644810000000001</v>
      </c>
      <c r="E38" s="309"/>
      <c r="F38" s="308">
        <v>1</v>
      </c>
      <c r="G38" s="308"/>
      <c r="H38" s="308">
        <v>1</v>
      </c>
      <c r="I38" s="308"/>
      <c r="J38" s="308">
        <v>0.91955100000000001</v>
      </c>
      <c r="K38" s="308"/>
      <c r="L38" s="308">
        <v>0.91955100000000001</v>
      </c>
      <c r="M38" s="308"/>
      <c r="N38" s="308">
        <v>0.91955100000000001</v>
      </c>
      <c r="O38" s="308"/>
      <c r="P38" s="308">
        <v>0.91955100000000001</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2.9120000000000001E-3</v>
      </c>
      <c r="E40" s="279"/>
      <c r="F40" s="316">
        <v>8.3875000000000009E-3</v>
      </c>
      <c r="G40" s="315"/>
      <c r="H40" s="316">
        <v>5.0299999999999997E-3</v>
      </c>
      <c r="I40" s="315"/>
      <c r="J40" s="316">
        <v>1.05875E-2</v>
      </c>
      <c r="K40" s="315"/>
      <c r="L40" s="316">
        <v>7.2300000000000003E-3</v>
      </c>
      <c r="M40" s="315"/>
      <c r="N40" s="316">
        <v>1.61875E-2</v>
      </c>
      <c r="O40" s="315"/>
      <c r="P40" s="316">
        <v>1.2829999999999999E-2</v>
      </c>
      <c r="Q40" s="315"/>
      <c r="R40" s="316"/>
      <c r="S40" s="281"/>
      <c r="T40" s="287"/>
      <c r="U40" s="282"/>
      <c r="V40" s="5"/>
    </row>
    <row r="41" spans="1:22" x14ac:dyDescent="0.35">
      <c r="A41" s="278"/>
      <c r="B41" s="279" t="s">
        <v>13</v>
      </c>
      <c r="C41" s="279"/>
      <c r="D41" s="316">
        <v>2.98E-3</v>
      </c>
      <c r="E41" s="279"/>
      <c r="F41" s="316">
        <v>9.7313E-3</v>
      </c>
      <c r="G41" s="315"/>
      <c r="H41" s="316">
        <v>5.7200000000000003E-3</v>
      </c>
      <c r="I41" s="315"/>
      <c r="J41" s="316">
        <v>1.1931300000000001E-2</v>
      </c>
      <c r="K41" s="315"/>
      <c r="L41" s="316">
        <v>7.92E-3</v>
      </c>
      <c r="M41" s="315"/>
      <c r="N41" s="316">
        <v>1.75313E-2</v>
      </c>
      <c r="O41" s="315"/>
      <c r="P41" s="316">
        <v>1.3520000000000001E-2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6.3431E-3</v>
      </c>
      <c r="E43" s="279"/>
      <c r="F43" s="316">
        <f>+F40</f>
        <v>8.3875000000000009E-3</v>
      </c>
      <c r="G43" s="315"/>
      <c r="H43" s="316">
        <v>8.8374999999999999E-3</v>
      </c>
      <c r="I43" s="315"/>
      <c r="J43" s="316">
        <f>+J40</f>
        <v>1.05875E-2</v>
      </c>
      <c r="K43" s="315"/>
      <c r="L43" s="316">
        <v>1.1317499999999999E-2</v>
      </c>
      <c r="M43" s="315"/>
      <c r="N43" s="316">
        <f>+N40</f>
        <v>1.61875E-2</v>
      </c>
      <c r="O43" s="315"/>
      <c r="P43" s="316">
        <v>1.7417499999999999E-2</v>
      </c>
      <c r="Q43" s="287"/>
      <c r="R43" s="287"/>
      <c r="S43" s="281"/>
      <c r="T43" s="315">
        <f>SUMPRODUCT(D43:P43,D35:P35)/T35</f>
        <v>9.4501306147271955E-3</v>
      </c>
      <c r="U43" s="282"/>
      <c r="V43" s="5"/>
    </row>
    <row r="44" spans="1:22" x14ac:dyDescent="0.35">
      <c r="A44" s="278"/>
      <c r="B44" s="279" t="s">
        <v>301</v>
      </c>
      <c r="C44" s="317"/>
      <c r="D44" s="316">
        <v>7.6869E-3</v>
      </c>
      <c r="E44" s="279"/>
      <c r="F44" s="316">
        <f>+F41</f>
        <v>9.7313E-3</v>
      </c>
      <c r="G44" s="315"/>
      <c r="H44" s="316">
        <v>1.0181300000000001E-2</v>
      </c>
      <c r="I44" s="315"/>
      <c r="J44" s="316">
        <f>+J41</f>
        <v>1.1931300000000001E-2</v>
      </c>
      <c r="K44" s="315"/>
      <c r="L44" s="316">
        <v>1.26613E-2</v>
      </c>
      <c r="M44" s="315"/>
      <c r="N44" s="316">
        <f>+N41</f>
        <v>1.75313E-2</v>
      </c>
      <c r="O44" s="315"/>
      <c r="P44" s="316">
        <v>1.8761300000000002E-2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0.29701753849144413</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41348</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41169</v>
      </c>
      <c r="S57" s="328"/>
      <c r="T57" s="327">
        <v>41259</v>
      </c>
      <c r="U57" s="282"/>
      <c r="V57" s="5"/>
    </row>
    <row r="58" spans="1:23" x14ac:dyDescent="0.35">
      <c r="A58" s="278"/>
      <c r="B58" s="279" t="s">
        <v>129</v>
      </c>
      <c r="C58" s="279"/>
      <c r="D58" s="279"/>
      <c r="E58" s="279"/>
      <c r="F58" s="279"/>
      <c r="G58" s="279"/>
      <c r="H58" s="279"/>
      <c r="I58" s="279"/>
      <c r="J58" s="279"/>
      <c r="K58" s="279"/>
      <c r="L58" s="279"/>
      <c r="M58" s="279"/>
      <c r="N58" s="279"/>
      <c r="O58" s="279"/>
      <c r="P58" s="279">
        <f>+T58-R58+1</f>
        <v>88</v>
      </c>
      <c r="Q58" s="279"/>
      <c r="R58" s="327">
        <v>41260</v>
      </c>
      <c r="S58" s="328"/>
      <c r="T58" s="327">
        <v>41347</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41334</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324</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458799</v>
      </c>
      <c r="M68" s="332"/>
      <c r="N68" s="332">
        <f>2214+83</f>
        <v>2297</v>
      </c>
      <c r="O68" s="332"/>
      <c r="P68" s="332">
        <v>83</v>
      </c>
      <c r="Q68" s="332"/>
      <c r="R68" s="332">
        <v>0</v>
      </c>
      <c r="S68" s="332"/>
      <c r="T68" s="333">
        <f>+L68-N68+P68-R68</f>
        <v>456585</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458799</v>
      </c>
      <c r="M71" s="332"/>
      <c r="N71" s="332">
        <f>SUM(N68:N70)</f>
        <v>2297</v>
      </c>
      <c r="O71" s="332"/>
      <c r="P71" s="332">
        <f>SUM(P68:P70)</f>
        <v>83</v>
      </c>
      <c r="Q71" s="332"/>
      <c r="R71" s="332">
        <f>SUM(R68:R70)</f>
        <v>0</v>
      </c>
      <c r="S71" s="332"/>
      <c r="T71" s="332">
        <f>SUM(T68:T70)</f>
        <v>456585</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458799</v>
      </c>
      <c r="M84" s="332"/>
      <c r="N84" s="332"/>
      <c r="O84" s="332"/>
      <c r="P84" s="332"/>
      <c r="Q84" s="332"/>
      <c r="R84" s="332"/>
      <c r="S84" s="332"/>
      <c r="T84" s="332">
        <f>SUM(T71:T83)</f>
        <v>456585</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41333</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2297+102</f>
        <v>2399</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2263+1228-494-280</f>
        <v>2717</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8+9</f>
        <v>17</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26</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294</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2399</v>
      </c>
      <c r="S96" s="279"/>
      <c r="T96" s="332">
        <f>SUM(T88:T95)</f>
        <v>3054</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-8</v>
      </c>
      <c r="S97" s="279"/>
      <c r="T97" s="332">
        <v>8</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84</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2391</v>
      </c>
      <c r="S100" s="279"/>
      <c r="T100" s="332">
        <f>T96+T98+T97+T99</f>
        <v>3146</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-173-181-5</f>
        <v>-359</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-68</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-683+212</f>
        <v>-471</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-212</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-73</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-72</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-185</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-9</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-102</v>
      </c>
      <c r="S115" s="279"/>
      <c r="T115" s="333">
        <v>102</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-172</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-1591</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-35</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-40</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-1707</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-138</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-58</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-229</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-82</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-2289</v>
      </c>
      <c r="S132" s="332"/>
      <c r="T132" s="332">
        <f>SUM(T101:T130)</f>
        <v>-3146</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FEBRUARY 2013</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2300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267</v>
      </c>
      <c r="C155" s="279"/>
      <c r="D155" s="279"/>
      <c r="E155" s="279"/>
      <c r="F155" s="279"/>
      <c r="G155" s="279"/>
      <c r="H155" s="279"/>
      <c r="I155" s="279"/>
      <c r="J155" s="279"/>
      <c r="K155" s="279"/>
      <c r="L155" s="279"/>
      <c r="M155" s="279"/>
      <c r="N155" s="279"/>
      <c r="O155" s="279"/>
      <c r="P155" s="279"/>
      <c r="Q155" s="279"/>
      <c r="R155" s="279"/>
      <c r="S155" s="279"/>
      <c r="T155" s="333">
        <v>2300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-102</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-102</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102</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456585</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456585</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+'Nov 12'!Q182</f>
        <v>43503</v>
      </c>
      <c r="R181" s="333">
        <f>+'Nov 12'!R182</f>
        <v>5995</v>
      </c>
      <c r="S181" s="279"/>
      <c r="T181" s="333">
        <f>Q181+R181</f>
        <v>49498</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40</v>
      </c>
      <c r="R182" s="332">
        <v>0</v>
      </c>
      <c r="S182" s="279"/>
      <c r="T182" s="333">
        <f>Q182+R182</f>
        <v>40</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43543</v>
      </c>
      <c r="R183" s="333">
        <f>R182+R181</f>
        <v>5995</v>
      </c>
      <c r="S183" s="279"/>
      <c r="T183" s="333">
        <f>Q183+R183</f>
        <v>49538</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110518.48000000001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3.9765739385065886</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1.61</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19.179245283018869</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8.31</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7.4980544747081712</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4.1399999999999997</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FEBRUARY 2013</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41333</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2.282E-2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9.4501306147271955E-3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1.3369869385272804E-2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6.8570332542137189E-3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14.49</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5.0065497091318859E-3</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0.1087</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77</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106</v>
      </c>
      <c r="R217" s="358">
        <f>+R269</f>
        <v>16814</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-102</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'Nov 12'!R222+R222</f>
        <v>5181</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5</v>
      </c>
      <c r="R229" s="358">
        <v>505</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3356</v>
      </c>
      <c r="Q236" s="378">
        <f t="shared" ref="Q236:Q243" si="2">P236/$P$245</f>
        <v>0.99113998818665094</v>
      </c>
      <c r="R236" s="237">
        <f t="shared" ref="R236:R243" si="3">+R248+R260+R272</f>
        <v>449804</v>
      </c>
      <c r="S236" s="378">
        <f t="shared" ref="S236:S243" si="4">R236/$R$245</f>
        <v>0.98514843895441151</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23</v>
      </c>
      <c r="Q237" s="378">
        <f t="shared" si="2"/>
        <v>6.7926757235676318E-3</v>
      </c>
      <c r="R237" s="333">
        <f t="shared" si="3"/>
        <v>5682</v>
      </c>
      <c r="S237" s="378">
        <f t="shared" si="4"/>
        <v>1.244456125365485E-2</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2.9533372711163615E-4</v>
      </c>
      <c r="R238" s="333">
        <f t="shared" si="3"/>
        <v>133</v>
      </c>
      <c r="S238" s="378">
        <f t="shared" si="4"/>
        <v>2.9129296845056233E-4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1</v>
      </c>
      <c r="Q240" s="378">
        <f t="shared" si="2"/>
        <v>2.9533372711163615E-4</v>
      </c>
      <c r="R240" s="333">
        <f t="shared" si="3"/>
        <v>128</v>
      </c>
      <c r="S240" s="378">
        <f t="shared" si="4"/>
        <v>2.8034210497497727E-4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2.9533372711163615E-4</v>
      </c>
      <c r="R241" s="333">
        <f t="shared" si="3"/>
        <v>218</v>
      </c>
      <c r="S241" s="378">
        <f t="shared" si="4"/>
        <v>4.7745764753550816E-4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3</v>
      </c>
      <c r="Q242" s="378">
        <f t="shared" si="2"/>
        <v>8.8600118133490844E-4</v>
      </c>
      <c r="R242" s="333">
        <f t="shared" si="3"/>
        <v>484</v>
      </c>
      <c r="S242" s="378">
        <f t="shared" si="4"/>
        <v>1.0600435844366329E-3</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2.9533372711163615E-4</v>
      </c>
      <c r="R243" s="333">
        <f t="shared" si="3"/>
        <v>136</v>
      </c>
      <c r="S243" s="383">
        <f t="shared" si="4"/>
        <v>2.9786348653591338E-4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3386</v>
      </c>
      <c r="Q245" s="378">
        <f>SUM(Q236:Q244)</f>
        <v>1</v>
      </c>
      <c r="R245" s="333">
        <f>SUM(R236:R244)</f>
        <v>456585</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3256</v>
      </c>
      <c r="Q248" s="244">
        <f t="shared" ref="Q248:Q255" si="5">P248/$P$257</f>
        <v>0.99268292682926829</v>
      </c>
      <c r="R248" s="237">
        <v>433956</v>
      </c>
      <c r="S248" s="244">
        <f t="shared" ref="S248:S255" si="6">R248/$R$257</f>
        <v>0.98677720904743604</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23</v>
      </c>
      <c r="Q249" s="378">
        <f t="shared" si="5"/>
        <v>7.0121951219512197E-3</v>
      </c>
      <c r="R249" s="333">
        <v>5682</v>
      </c>
      <c r="S249" s="378">
        <f t="shared" si="6"/>
        <v>1.2920360824156209E-2</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1</v>
      </c>
      <c r="Q250" s="378">
        <f t="shared" si="5"/>
        <v>3.048780487804878E-4</v>
      </c>
      <c r="R250" s="333">
        <v>133</v>
      </c>
      <c r="S250" s="378">
        <f t="shared" si="6"/>
        <v>3.0243012840773948E-4</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3280</v>
      </c>
      <c r="Q257" s="378">
        <f>SUM(Q248:Q256)</f>
        <v>0.99999999999999989</v>
      </c>
      <c r="R257" s="333">
        <f>SUM(R248:R256)</f>
        <v>439771</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100</v>
      </c>
      <c r="Q260" s="244">
        <f t="shared" ref="Q260:Q267" si="7">P260/$P$269</f>
        <v>0.94339622641509435</v>
      </c>
      <c r="R260" s="237">
        <v>15848</v>
      </c>
      <c r="S260" s="244">
        <f t="shared" ref="S260:S267" si="8">R260/$R$269</f>
        <v>0.94254787676935892</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0</v>
      </c>
      <c r="Q261" s="378">
        <f t="shared" si="7"/>
        <v>0</v>
      </c>
      <c r="R261" s="333">
        <v>0</v>
      </c>
      <c r="S261" s="378">
        <f t="shared" si="8"/>
        <v>0</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9.433962264150943E-3</v>
      </c>
      <c r="R264" s="333">
        <v>128</v>
      </c>
      <c r="S264" s="378">
        <f t="shared" si="8"/>
        <v>7.6127036992982037E-3</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9.433962264150943E-3</v>
      </c>
      <c r="R265" s="333">
        <v>218</v>
      </c>
      <c r="S265" s="378">
        <f t="shared" si="8"/>
        <v>1.2965385987867253E-2</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3</v>
      </c>
      <c r="Q266" s="378">
        <f t="shared" si="7"/>
        <v>2.8301886792452831E-2</v>
      </c>
      <c r="R266" s="333">
        <v>484</v>
      </c>
      <c r="S266" s="378">
        <f t="shared" si="8"/>
        <v>2.8785535862971334E-2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9.433962264150943E-3</v>
      </c>
      <c r="R267" s="333">
        <v>136</v>
      </c>
      <c r="S267" s="378">
        <f t="shared" si="8"/>
        <v>8.0884976805043422E-3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106</v>
      </c>
      <c r="Q269" s="378">
        <f>SUM(Q260:Q268)</f>
        <v>1</v>
      </c>
      <c r="R269" s="333">
        <f>SUM(R260:R268)</f>
        <v>16814</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3386</v>
      </c>
      <c r="Q283" s="378"/>
      <c r="R283" s="382">
        <f>+R281+R269+R257</f>
        <v>456585</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96</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277</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97</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FEBRUARY 2013</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1C00-000000000000}"/>
    <hyperlink ref="N233" r:id="rId2" xr:uid="{00000000-0004-0000-1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2D2926"/>
  </sheetPr>
  <dimension ref="A1:W279"/>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0.49180000000000001</v>
      </c>
      <c r="R16" s="17" t="s">
        <v>147</v>
      </c>
      <c r="S16" s="138">
        <v>0.50819999999999999</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38988</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v>1059970</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1030289.7</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608129.78546400007</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977386.78546400007</v>
      </c>
      <c r="U35" s="34"/>
      <c r="V35" s="5"/>
    </row>
    <row r="36" spans="1:22" x14ac:dyDescent="0.35">
      <c r="A36" s="28"/>
      <c r="B36" s="29" t="s">
        <v>298</v>
      </c>
      <c r="C36" s="126"/>
      <c r="D36" s="35">
        <f>D37*D34-1</f>
        <v>591100.55319200002</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960357.55319200002</v>
      </c>
      <c r="U36" s="34"/>
      <c r="V36" s="5"/>
    </row>
    <row r="37" spans="1:22" x14ac:dyDescent="0.35">
      <c r="A37" s="24"/>
      <c r="B37" s="122" t="s">
        <v>137</v>
      </c>
      <c r="C37" s="25"/>
      <c r="D37" s="136">
        <v>0.93662699999999999</v>
      </c>
      <c r="E37" s="137"/>
      <c r="F37" s="136">
        <v>1</v>
      </c>
      <c r="G37" s="136"/>
      <c r="H37" s="136">
        <v>1</v>
      </c>
      <c r="I37" s="136"/>
      <c r="J37" s="136">
        <v>1</v>
      </c>
      <c r="K37" s="136"/>
      <c r="L37" s="136">
        <v>1</v>
      </c>
      <c r="M37" s="136"/>
      <c r="N37" s="136">
        <v>1</v>
      </c>
      <c r="O37" s="136"/>
      <c r="P37" s="136">
        <v>1</v>
      </c>
      <c r="Q37" s="30"/>
      <c r="R37" s="30"/>
      <c r="S37" s="164"/>
      <c r="T37" s="164"/>
      <c r="U37" s="25"/>
      <c r="V37" s="5"/>
    </row>
    <row r="38" spans="1:22" x14ac:dyDescent="0.35">
      <c r="A38" s="24"/>
      <c r="B38" s="122" t="s">
        <v>138</v>
      </c>
      <c r="C38" s="25"/>
      <c r="D38" s="136">
        <v>0.96360900000000005</v>
      </c>
      <c r="E38" s="137"/>
      <c r="F38" s="136">
        <v>1</v>
      </c>
      <c r="G38" s="136"/>
      <c r="H38" s="136">
        <v>1</v>
      </c>
      <c r="I38" s="136"/>
      <c r="J38" s="136">
        <v>1</v>
      </c>
      <c r="K38" s="136"/>
      <c r="L38" s="136">
        <v>1</v>
      </c>
      <c r="M38" s="136"/>
      <c r="N38" s="136">
        <v>1</v>
      </c>
      <c r="O38" s="136"/>
      <c r="P38" s="136">
        <v>1</v>
      </c>
      <c r="Q38" s="39"/>
      <c r="R38" s="38"/>
      <c r="S38" s="164"/>
      <c r="T38" s="39"/>
      <c r="U38" s="25"/>
      <c r="V38" s="5"/>
    </row>
    <row r="39" spans="1:22" x14ac:dyDescent="0.35">
      <c r="A39" s="24"/>
      <c r="B39" s="25" t="s">
        <v>11</v>
      </c>
      <c r="C39" s="25"/>
      <c r="D39" s="30" t="s">
        <v>237</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5.33E-2</v>
      </c>
      <c r="E40" s="25"/>
      <c r="F40" s="38">
        <v>4.8940600000000001E-2</v>
      </c>
      <c r="G40" s="39"/>
      <c r="H40" s="38">
        <v>3.1189999999999999E-2</v>
      </c>
      <c r="I40" s="39"/>
      <c r="J40" s="38">
        <v>5.0040599999999998E-2</v>
      </c>
      <c r="K40" s="39"/>
      <c r="L40" s="38">
        <v>3.2289999999999999E-2</v>
      </c>
      <c r="M40" s="39"/>
      <c r="N40" s="38">
        <v>5.2840600000000001E-2</v>
      </c>
      <c r="O40" s="39"/>
      <c r="P40" s="38">
        <v>3.5090000000000003E-2</v>
      </c>
      <c r="Q40" s="39"/>
      <c r="R40" s="38"/>
      <c r="S40" s="164"/>
      <c r="T40" s="30"/>
      <c r="U40" s="25"/>
      <c r="V40" s="5"/>
    </row>
    <row r="41" spans="1:22" x14ac:dyDescent="0.35">
      <c r="A41" s="24"/>
      <c r="B41" s="25" t="s">
        <v>13</v>
      </c>
      <c r="C41" s="25"/>
      <c r="D41" s="38">
        <v>5.0806299999999999E-2</v>
      </c>
      <c r="E41" s="25"/>
      <c r="F41" s="38">
        <v>4.7421900000000003E-2</v>
      </c>
      <c r="G41" s="39"/>
      <c r="H41" s="38">
        <v>2.861E-2</v>
      </c>
      <c r="I41" s="39"/>
      <c r="J41" s="38">
        <v>4.85219E-2</v>
      </c>
      <c r="K41" s="39"/>
      <c r="L41" s="38">
        <v>2.971E-2</v>
      </c>
      <c r="M41" s="39"/>
      <c r="N41" s="38">
        <v>5.1321899999999997E-2</v>
      </c>
      <c r="O41" s="39"/>
      <c r="P41" s="38">
        <v>3.2509999999999997E-2</v>
      </c>
      <c r="Q41" s="39"/>
      <c r="R41" s="38"/>
      <c r="S41" s="164"/>
      <c r="T41" s="39" t="s">
        <v>226</v>
      </c>
      <c r="U41" s="25"/>
      <c r="V41" s="5"/>
    </row>
    <row r="42" spans="1:22" x14ac:dyDescent="0.35">
      <c r="A42" s="24"/>
      <c r="B42" s="25" t="s">
        <v>299</v>
      </c>
      <c r="C42" s="25"/>
      <c r="D42" s="30" t="s">
        <v>235</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4.7583599999999997E-2</v>
      </c>
      <c r="E43" s="25"/>
      <c r="F43" s="38">
        <v>4.8940600000000001E-2</v>
      </c>
      <c r="G43" s="39"/>
      <c r="H43" s="38">
        <v>4.9165599999999997E-2</v>
      </c>
      <c r="I43" s="39"/>
      <c r="J43" s="38">
        <v>5.0040599999999998E-2</v>
      </c>
      <c r="K43" s="39"/>
      <c r="L43" s="38">
        <v>5.0405600000000002E-2</v>
      </c>
      <c r="M43" s="39"/>
      <c r="N43" s="38">
        <v>5.2840600000000001E-2</v>
      </c>
      <c r="O43" s="39"/>
      <c r="P43" s="38">
        <v>5.3455599999999999E-2</v>
      </c>
      <c r="Q43" s="30"/>
      <c r="R43" s="30"/>
      <c r="S43" s="164"/>
      <c r="T43" s="39">
        <f>SUMPRODUCT(D43:P43,D35:P35)/T35</f>
        <v>4.8476775370266102E-2</v>
      </c>
      <c r="U43" s="25"/>
      <c r="V43" s="5"/>
    </row>
    <row r="44" spans="1:22" x14ac:dyDescent="0.35">
      <c r="A44" s="24"/>
      <c r="B44" s="25" t="s">
        <v>301</v>
      </c>
      <c r="C44" s="110"/>
      <c r="D44" s="38">
        <v>4.6064899999999999E-2</v>
      </c>
      <c r="E44" s="25"/>
      <c r="F44" s="38">
        <v>4.7421900000000003E-2</v>
      </c>
      <c r="G44" s="39"/>
      <c r="H44" s="38">
        <v>4.7646899999999999E-2</v>
      </c>
      <c r="I44" s="39"/>
      <c r="J44" s="38">
        <v>4.85219E-2</v>
      </c>
      <c r="K44" s="39"/>
      <c r="L44" s="38">
        <v>4.8886899999999997E-2</v>
      </c>
      <c r="M44" s="39"/>
      <c r="N44" s="38">
        <v>5.1321899999999997E-2</v>
      </c>
      <c r="O44" s="39"/>
      <c r="P44" s="38">
        <v>5.1936900000000001E-2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0.13503950513795776</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38975</v>
      </c>
      <c r="U56" s="25"/>
      <c r="V56" s="5"/>
    </row>
    <row r="57" spans="1:23" x14ac:dyDescent="0.35">
      <c r="A57" s="24"/>
      <c r="B57" s="25" t="s">
        <v>128</v>
      </c>
      <c r="C57" s="25"/>
      <c r="D57" s="25"/>
      <c r="E57" s="25"/>
      <c r="F57" s="25"/>
      <c r="G57" s="25"/>
      <c r="H57" s="58"/>
      <c r="I57" s="58"/>
      <c r="J57" s="58"/>
      <c r="K57" s="58"/>
      <c r="L57" s="58"/>
      <c r="M57" s="58"/>
      <c r="N57" s="58"/>
      <c r="O57" s="58"/>
      <c r="P57" s="25">
        <f>+T57-R57+1</f>
        <v>92</v>
      </c>
      <c r="Q57" s="25"/>
      <c r="R57" s="45">
        <v>38791</v>
      </c>
      <c r="S57" s="46"/>
      <c r="T57" s="45">
        <v>38882</v>
      </c>
      <c r="U57" s="25"/>
      <c r="V57" s="5"/>
    </row>
    <row r="58" spans="1:23" x14ac:dyDescent="0.35">
      <c r="A58" s="24"/>
      <c r="B58" s="25" t="s">
        <v>129</v>
      </c>
      <c r="C58" s="25"/>
      <c r="D58" s="25"/>
      <c r="E58" s="25"/>
      <c r="F58" s="25"/>
      <c r="G58" s="25"/>
      <c r="H58" s="25"/>
      <c r="I58" s="25"/>
      <c r="J58" s="25"/>
      <c r="K58" s="25"/>
      <c r="L58" s="25"/>
      <c r="M58" s="25"/>
      <c r="N58" s="25"/>
      <c r="O58" s="25"/>
      <c r="P58" s="25">
        <f>+T58-R58+1</f>
        <v>92</v>
      </c>
      <c r="Q58" s="25"/>
      <c r="R58" s="45">
        <v>38883</v>
      </c>
      <c r="S58" s="46"/>
      <c r="T58" s="45">
        <v>38974</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38961</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265</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977387</v>
      </c>
      <c r="M69" s="34"/>
      <c r="N69" s="34">
        <f>17028+4578+1226+1</f>
        <v>22833</v>
      </c>
      <c r="O69" s="34"/>
      <c r="P69" s="34">
        <v>5804</v>
      </c>
      <c r="Q69" s="34"/>
      <c r="R69" s="34">
        <v>0</v>
      </c>
      <c r="S69" s="34"/>
      <c r="T69" s="53">
        <f>+L69-N69+P69-R69</f>
        <v>960358</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977387</v>
      </c>
      <c r="M72" s="34"/>
      <c r="N72" s="34">
        <f>SUM(N69:N71)</f>
        <v>22833</v>
      </c>
      <c r="O72" s="34"/>
      <c r="P72" s="34">
        <f>SUM(P69:P71)</f>
        <v>5804</v>
      </c>
      <c r="Q72" s="34"/>
      <c r="R72" s="34">
        <f>SUM(R69:R71)</f>
        <v>0</v>
      </c>
      <c r="S72" s="34"/>
      <c r="T72" s="54">
        <f>SUM(T69:T71)</f>
        <v>960358</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v>0</v>
      </c>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977387</v>
      </c>
      <c r="M85" s="34"/>
      <c r="N85" s="34"/>
      <c r="O85" s="34"/>
      <c r="P85" s="34"/>
      <c r="Q85" s="34"/>
      <c r="R85" s="54"/>
      <c r="S85" s="34"/>
      <c r="T85" s="54">
        <f>SUM(T72:T84)</f>
        <v>960358</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+R195</f>
        <v>38960</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22832</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7145+6246+1017-522-617</f>
        <v>13269</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250+170</f>
        <v>420</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465</v>
      </c>
      <c r="U93" s="25"/>
      <c r="V93" s="5"/>
    </row>
    <row r="94" spans="1:22" x14ac:dyDescent="0.35">
      <c r="A94" s="24"/>
      <c r="B94" s="25" t="s">
        <v>142</v>
      </c>
      <c r="C94" s="25"/>
      <c r="D94" s="25"/>
      <c r="E94" s="25"/>
      <c r="F94" s="25"/>
      <c r="G94" s="25"/>
      <c r="H94" s="25"/>
      <c r="I94" s="25"/>
      <c r="J94" s="25"/>
      <c r="K94" s="25"/>
      <c r="L94" s="25"/>
      <c r="M94" s="25"/>
      <c r="N94" s="25"/>
      <c r="O94" s="25"/>
      <c r="P94" s="25"/>
      <c r="Q94" s="25"/>
      <c r="R94" s="34"/>
      <c r="S94" s="25"/>
      <c r="T94" s="53">
        <v>0</v>
      </c>
      <c r="U94" s="25"/>
      <c r="V94" s="5"/>
    </row>
    <row r="95" spans="1:22" x14ac:dyDescent="0.35">
      <c r="A95" s="24"/>
      <c r="B95" s="25" t="s">
        <v>234</v>
      </c>
      <c r="C95" s="25"/>
      <c r="D95" s="25"/>
      <c r="E95" s="25"/>
      <c r="F95" s="25"/>
      <c r="G95" s="25"/>
      <c r="H95" s="25"/>
      <c r="I95" s="25"/>
      <c r="J95" s="25"/>
      <c r="K95" s="25"/>
      <c r="L95" s="25"/>
      <c r="M95" s="25"/>
      <c r="N95" s="25"/>
      <c r="O95" s="25"/>
      <c r="P95" s="25"/>
      <c r="Q95" s="25"/>
      <c r="R95" s="34"/>
      <c r="S95" s="25"/>
      <c r="T95" s="53">
        <v>1292</v>
      </c>
      <c r="U95" s="25"/>
      <c r="V95" s="5"/>
    </row>
    <row r="96" spans="1:22" x14ac:dyDescent="0.35">
      <c r="A96" s="24"/>
      <c r="B96" s="25" t="s">
        <v>30</v>
      </c>
      <c r="C96" s="25"/>
      <c r="D96" s="25"/>
      <c r="E96" s="25"/>
      <c r="F96" s="25"/>
      <c r="G96" s="25"/>
      <c r="H96" s="25"/>
      <c r="I96" s="25"/>
      <c r="J96" s="25"/>
      <c r="K96" s="25"/>
      <c r="L96" s="25"/>
      <c r="M96" s="25"/>
      <c r="N96" s="25"/>
      <c r="O96" s="25"/>
      <c r="P96" s="25"/>
      <c r="Q96" s="25"/>
      <c r="R96" s="34">
        <f>SUM(R89:R95)</f>
        <v>22832</v>
      </c>
      <c r="S96" s="25"/>
      <c r="T96" s="54">
        <f>SUM(T89:T95)</f>
        <v>15446</v>
      </c>
      <c r="U96" s="25"/>
      <c r="V96" s="5"/>
    </row>
    <row r="97" spans="1:23" x14ac:dyDescent="0.35">
      <c r="A97" s="24"/>
      <c r="B97" s="25" t="s">
        <v>170</v>
      </c>
      <c r="C97" s="25"/>
      <c r="D97" s="25"/>
      <c r="E97" s="25"/>
      <c r="F97" s="25"/>
      <c r="G97" s="25"/>
      <c r="H97" s="25"/>
      <c r="I97" s="25"/>
      <c r="J97" s="25"/>
      <c r="K97" s="25"/>
      <c r="L97" s="25"/>
      <c r="M97" s="25"/>
      <c r="N97" s="25"/>
      <c r="O97" s="25"/>
      <c r="P97" s="25"/>
      <c r="Q97" s="25"/>
      <c r="R97" s="34">
        <f>-T97</f>
        <v>-31</v>
      </c>
      <c r="S97" s="25"/>
      <c r="T97" s="54">
        <v>31</v>
      </c>
      <c r="U97" s="25"/>
      <c r="V97" s="5"/>
    </row>
    <row r="98" spans="1:23" x14ac:dyDescent="0.35">
      <c r="A98" s="24"/>
      <c r="B98" s="25" t="s">
        <v>31</v>
      </c>
      <c r="C98" s="25"/>
      <c r="D98" s="25"/>
      <c r="E98" s="25"/>
      <c r="F98" s="25"/>
      <c r="G98" s="25"/>
      <c r="H98" s="25"/>
      <c r="I98" s="25"/>
      <c r="J98" s="25"/>
      <c r="K98" s="25"/>
      <c r="L98" s="25"/>
      <c r="M98" s="25"/>
      <c r="N98" s="25"/>
      <c r="O98" s="25"/>
      <c r="P98" s="25"/>
      <c r="Q98" s="25"/>
      <c r="R98" s="34">
        <f>-T98</f>
        <v>0</v>
      </c>
      <c r="S98" s="25"/>
      <c r="T98" s="53">
        <v>0</v>
      </c>
      <c r="U98" s="25"/>
      <c r="V98" s="5"/>
    </row>
    <row r="99" spans="1:23" x14ac:dyDescent="0.35">
      <c r="A99" s="24"/>
      <c r="B99" s="25" t="s">
        <v>32</v>
      </c>
      <c r="C99" s="25"/>
      <c r="D99" s="25"/>
      <c r="E99" s="25"/>
      <c r="F99" s="25"/>
      <c r="G99" s="25"/>
      <c r="H99" s="25"/>
      <c r="I99" s="25"/>
      <c r="J99" s="25"/>
      <c r="K99" s="25"/>
      <c r="L99" s="25"/>
      <c r="M99" s="25"/>
      <c r="N99" s="25"/>
      <c r="O99" s="25"/>
      <c r="P99" s="25"/>
      <c r="Q99" s="25"/>
      <c r="R99" s="34">
        <f>R96+R98+R97</f>
        <v>22801</v>
      </c>
      <c r="S99" s="25"/>
      <c r="T99" s="54">
        <f>T96+T98+T97</f>
        <v>15477</v>
      </c>
      <c r="U99" s="25"/>
      <c r="V99" s="5"/>
    </row>
    <row r="100" spans="1:23" x14ac:dyDescent="0.35">
      <c r="A100" s="24"/>
      <c r="B100" s="118" t="s">
        <v>33</v>
      </c>
      <c r="C100" s="25"/>
      <c r="D100" s="25"/>
      <c r="E100" s="25"/>
      <c r="F100" s="25"/>
      <c r="G100" s="25"/>
      <c r="H100" s="25"/>
      <c r="I100" s="25"/>
      <c r="J100" s="25"/>
      <c r="K100" s="25"/>
      <c r="L100" s="25"/>
      <c r="M100" s="25"/>
      <c r="N100" s="25"/>
      <c r="O100" s="25"/>
      <c r="P100" s="25"/>
      <c r="Q100" s="25"/>
      <c r="R100" s="34"/>
      <c r="S100" s="25"/>
      <c r="T100" s="53"/>
      <c r="U100" s="25"/>
      <c r="V100" s="5"/>
    </row>
    <row r="101" spans="1:23" x14ac:dyDescent="0.35">
      <c r="A101" s="24">
        <v>1</v>
      </c>
      <c r="B101" s="25" t="s">
        <v>34</v>
      </c>
      <c r="C101" s="25"/>
      <c r="D101" s="25"/>
      <c r="E101" s="25"/>
      <c r="F101" s="25"/>
      <c r="G101" s="25"/>
      <c r="H101" s="25"/>
      <c r="I101" s="25"/>
      <c r="J101" s="25"/>
      <c r="K101" s="25"/>
      <c r="L101" s="25"/>
      <c r="M101" s="25"/>
      <c r="N101" s="25"/>
      <c r="O101" s="25"/>
      <c r="P101" s="25"/>
      <c r="Q101" s="25"/>
      <c r="R101" s="25"/>
      <c r="S101" s="25"/>
      <c r="T101" s="53">
        <v>0</v>
      </c>
      <c r="U101" s="25"/>
      <c r="V101" s="5"/>
    </row>
    <row r="102" spans="1:23" x14ac:dyDescent="0.35">
      <c r="A102" s="24">
        <f>+A101+1</f>
        <v>2</v>
      </c>
      <c r="B102" s="25" t="s">
        <v>35</v>
      </c>
      <c r="C102" s="25"/>
      <c r="D102" s="25"/>
      <c r="E102" s="25"/>
      <c r="F102" s="25"/>
      <c r="G102" s="25"/>
      <c r="H102" s="25"/>
      <c r="I102" s="25"/>
      <c r="J102" s="25"/>
      <c r="K102" s="25"/>
      <c r="L102" s="25"/>
      <c r="M102" s="25"/>
      <c r="N102" s="25"/>
      <c r="O102" s="25"/>
      <c r="P102" s="25"/>
      <c r="Q102" s="25"/>
      <c r="R102" s="25"/>
      <c r="S102" s="25"/>
      <c r="T102" s="53">
        <v>-2</v>
      </c>
      <c r="U102" s="25"/>
      <c r="V102" s="5"/>
    </row>
    <row r="103" spans="1:23" x14ac:dyDescent="0.35">
      <c r="A103" s="24">
        <f>+A102+1</f>
        <v>3</v>
      </c>
      <c r="B103" s="25" t="s">
        <v>246</v>
      </c>
      <c r="C103" s="25"/>
      <c r="D103" s="25"/>
      <c r="E103" s="25"/>
      <c r="F103" s="25"/>
      <c r="G103" s="25"/>
      <c r="H103" s="25"/>
      <c r="I103" s="25"/>
      <c r="J103" s="25"/>
      <c r="K103" s="25"/>
      <c r="L103" s="25"/>
      <c r="M103" s="25"/>
      <c r="N103" s="25"/>
      <c r="O103" s="25"/>
      <c r="P103" s="25"/>
      <c r="Q103" s="25"/>
      <c r="R103" s="25"/>
      <c r="S103" s="25"/>
      <c r="T103" s="53">
        <f>-370-5-12</f>
        <v>-387</v>
      </c>
      <c r="U103" s="25"/>
      <c r="V103" s="5"/>
    </row>
    <row r="104" spans="1:23" x14ac:dyDescent="0.35">
      <c r="A104" s="24" t="s">
        <v>134</v>
      </c>
      <c r="B104" s="25" t="s">
        <v>123</v>
      </c>
      <c r="C104" s="25"/>
      <c r="D104" s="25"/>
      <c r="E104" s="25"/>
      <c r="F104" s="25"/>
      <c r="G104" s="25"/>
      <c r="H104" s="25"/>
      <c r="I104" s="25"/>
      <c r="J104" s="25"/>
      <c r="K104" s="25"/>
      <c r="L104" s="25"/>
      <c r="M104" s="25"/>
      <c r="N104" s="25"/>
      <c r="O104" s="25"/>
      <c r="P104" s="25"/>
      <c r="Q104" s="25"/>
      <c r="R104" s="25"/>
      <c r="S104" s="25"/>
      <c r="T104" s="53">
        <v>296</v>
      </c>
      <c r="U104" s="25"/>
      <c r="V104" s="5"/>
    </row>
    <row r="105" spans="1:23" x14ac:dyDescent="0.35">
      <c r="A105" s="24" t="s">
        <v>135</v>
      </c>
      <c r="B105" s="25" t="s">
        <v>169</v>
      </c>
      <c r="C105" s="25"/>
      <c r="D105" s="25"/>
      <c r="E105" s="25"/>
      <c r="F105" s="25"/>
      <c r="G105" s="25"/>
      <c r="H105" s="25"/>
      <c r="I105" s="25"/>
      <c r="J105" s="25"/>
      <c r="K105" s="25"/>
      <c r="L105" s="25"/>
      <c r="M105" s="25"/>
      <c r="N105" s="25"/>
      <c r="O105" s="25"/>
      <c r="P105" s="25"/>
      <c r="Q105" s="25"/>
      <c r="R105" s="25"/>
      <c r="S105" s="25"/>
      <c r="T105" s="53">
        <v>-2</v>
      </c>
      <c r="U105" s="25"/>
      <c r="V105" s="5"/>
    </row>
    <row r="106" spans="1:23" x14ac:dyDescent="0.35">
      <c r="A106" s="24" t="s">
        <v>157</v>
      </c>
      <c r="B106" s="25" t="s">
        <v>217</v>
      </c>
      <c r="C106" s="25"/>
      <c r="D106" s="25"/>
      <c r="E106" s="25"/>
      <c r="F106" s="25"/>
      <c r="G106" s="25"/>
      <c r="H106" s="25"/>
      <c r="I106" s="25"/>
      <c r="J106" s="25"/>
      <c r="K106" s="25"/>
      <c r="L106" s="25"/>
      <c r="M106" s="25"/>
      <c r="N106" s="25"/>
      <c r="O106" s="25"/>
      <c r="P106" s="25"/>
      <c r="Q106" s="25"/>
      <c r="R106" s="25"/>
      <c r="S106" s="25"/>
      <c r="T106" s="53">
        <f>-7294-1859</f>
        <v>-9153</v>
      </c>
      <c r="U106" s="25"/>
      <c r="V106" s="169"/>
      <c r="W106" s="109"/>
    </row>
    <row r="107" spans="1:23" x14ac:dyDescent="0.35">
      <c r="A107" s="24" t="s">
        <v>158</v>
      </c>
      <c r="B107" s="25" t="s">
        <v>213</v>
      </c>
      <c r="C107" s="25"/>
      <c r="D107" s="25"/>
      <c r="E107" s="25"/>
      <c r="F107" s="25"/>
      <c r="G107" s="25"/>
      <c r="H107" s="25"/>
      <c r="I107" s="25"/>
      <c r="J107" s="25"/>
      <c r="K107" s="25"/>
      <c r="L107" s="25"/>
      <c r="M107" s="25"/>
      <c r="N107" s="25"/>
      <c r="O107" s="25"/>
      <c r="P107" s="25"/>
      <c r="Q107" s="25"/>
      <c r="R107" s="25"/>
      <c r="S107" s="25"/>
      <c r="T107" s="53">
        <v>-1295</v>
      </c>
      <c r="U107" s="25"/>
      <c r="V107" s="5"/>
      <c r="W107" s="109"/>
    </row>
    <row r="108" spans="1:23" x14ac:dyDescent="0.35">
      <c r="A108" s="24" t="s">
        <v>247</v>
      </c>
      <c r="B108" s="25" t="s">
        <v>214</v>
      </c>
      <c r="C108" s="25"/>
      <c r="D108" s="25"/>
      <c r="E108" s="25"/>
      <c r="F108" s="25"/>
      <c r="G108" s="25"/>
      <c r="H108" s="25"/>
      <c r="I108" s="25"/>
      <c r="J108" s="25"/>
      <c r="K108" s="25"/>
      <c r="L108" s="25"/>
      <c r="M108" s="25"/>
      <c r="N108" s="25"/>
      <c r="O108" s="25"/>
      <c r="P108" s="25"/>
      <c r="Q108" s="25"/>
      <c r="R108" s="25"/>
      <c r="S108" s="25"/>
      <c r="T108" s="53">
        <v>-167</v>
      </c>
      <c r="U108" s="25"/>
      <c r="V108" s="5"/>
      <c r="W108" s="109"/>
    </row>
    <row r="109" spans="1:23" x14ac:dyDescent="0.35">
      <c r="A109" s="24" t="s">
        <v>248</v>
      </c>
      <c r="B109" s="25" t="s">
        <v>215</v>
      </c>
      <c r="C109" s="25"/>
      <c r="D109" s="25"/>
      <c r="E109" s="25"/>
      <c r="F109" s="25"/>
      <c r="G109" s="25"/>
      <c r="H109" s="25"/>
      <c r="I109" s="25"/>
      <c r="J109" s="25"/>
      <c r="K109" s="25"/>
      <c r="L109" s="25"/>
      <c r="M109" s="25"/>
      <c r="N109" s="25"/>
      <c r="O109" s="25"/>
      <c r="P109" s="25"/>
      <c r="Q109" s="25"/>
      <c r="R109" s="25"/>
      <c r="S109" s="25"/>
      <c r="T109" s="53">
        <v>-391</v>
      </c>
      <c r="U109" s="25"/>
      <c r="V109" s="5"/>
      <c r="W109" s="109"/>
    </row>
    <row r="110" spans="1:23" x14ac:dyDescent="0.35">
      <c r="A110" s="24" t="s">
        <v>249</v>
      </c>
      <c r="B110" s="25" t="s">
        <v>230</v>
      </c>
      <c r="C110" s="25"/>
      <c r="D110" s="25"/>
      <c r="E110" s="25"/>
      <c r="F110" s="25"/>
      <c r="G110" s="25"/>
      <c r="H110" s="25"/>
      <c r="I110" s="25"/>
      <c r="J110" s="25"/>
      <c r="K110" s="25"/>
      <c r="L110" s="25"/>
      <c r="M110" s="25"/>
      <c r="N110" s="25"/>
      <c r="O110" s="25"/>
      <c r="P110" s="25"/>
      <c r="Q110" s="25"/>
      <c r="R110" s="25"/>
      <c r="S110" s="25"/>
      <c r="T110" s="53">
        <v>-250</v>
      </c>
      <c r="U110" s="25"/>
      <c r="V110" s="5"/>
      <c r="W110" s="109"/>
    </row>
    <row r="111" spans="1:23" x14ac:dyDescent="0.35">
      <c r="A111" s="24" t="s">
        <v>250</v>
      </c>
      <c r="B111" s="25" t="s">
        <v>216</v>
      </c>
      <c r="C111" s="25"/>
      <c r="D111" s="25"/>
      <c r="E111" s="25"/>
      <c r="F111" s="25"/>
      <c r="G111" s="25"/>
      <c r="H111" s="25"/>
      <c r="I111" s="25"/>
      <c r="J111" s="25"/>
      <c r="K111" s="25"/>
      <c r="L111" s="25"/>
      <c r="M111" s="25"/>
      <c r="N111" s="25"/>
      <c r="O111" s="25"/>
      <c r="P111" s="25"/>
      <c r="Q111" s="25"/>
      <c r="R111" s="25"/>
      <c r="S111" s="25"/>
      <c r="T111" s="53">
        <v>-686</v>
      </c>
      <c r="U111" s="25"/>
      <c r="V111" s="5"/>
    </row>
    <row r="112" spans="1:23" x14ac:dyDescent="0.35">
      <c r="A112" s="24">
        <v>7</v>
      </c>
      <c r="B112" s="25" t="s">
        <v>36</v>
      </c>
      <c r="C112" s="25"/>
      <c r="D112" s="25"/>
      <c r="E112" s="25"/>
      <c r="F112" s="25"/>
      <c r="G112" s="25"/>
      <c r="H112" s="25"/>
      <c r="I112" s="25"/>
      <c r="J112" s="25"/>
      <c r="K112" s="25"/>
      <c r="L112" s="25"/>
      <c r="M112" s="25"/>
      <c r="N112" s="25"/>
      <c r="O112" s="25"/>
      <c r="P112" s="25"/>
      <c r="Q112" s="25"/>
      <c r="R112" s="25"/>
      <c r="S112" s="25"/>
      <c r="T112" s="53">
        <v>-13</v>
      </c>
      <c r="U112" s="25"/>
      <c r="V112" s="5"/>
    </row>
    <row r="113" spans="1:22" x14ac:dyDescent="0.35">
      <c r="A113" s="24">
        <f t="shared" ref="A113:A118" si="0">+A112+1</f>
        <v>8</v>
      </c>
      <c r="B113" s="25" t="s">
        <v>47</v>
      </c>
      <c r="C113" s="25"/>
      <c r="D113" s="25"/>
      <c r="E113" s="25"/>
      <c r="F113" s="25"/>
      <c r="G113" s="25"/>
      <c r="H113" s="25"/>
      <c r="I113" s="25"/>
      <c r="J113" s="25"/>
      <c r="K113" s="25"/>
      <c r="L113" s="25"/>
      <c r="M113" s="25"/>
      <c r="N113" s="25"/>
      <c r="O113" s="25"/>
      <c r="P113" s="25"/>
      <c r="Q113" s="25"/>
      <c r="R113" s="25"/>
      <c r="S113" s="25"/>
      <c r="T113" s="53">
        <v>0</v>
      </c>
      <c r="U113" s="25"/>
      <c r="V113" s="5"/>
    </row>
    <row r="114" spans="1:22" x14ac:dyDescent="0.35">
      <c r="A114" s="24">
        <f t="shared" si="0"/>
        <v>9</v>
      </c>
      <c r="B114" s="25" t="s">
        <v>132</v>
      </c>
      <c r="C114" s="25"/>
      <c r="D114" s="25"/>
      <c r="E114" s="25"/>
      <c r="F114" s="25"/>
      <c r="G114" s="25"/>
      <c r="H114" s="25"/>
      <c r="I114" s="25"/>
      <c r="J114" s="25"/>
      <c r="K114" s="25"/>
      <c r="L114" s="25"/>
      <c r="M114" s="25"/>
      <c r="N114" s="25"/>
      <c r="O114" s="25"/>
      <c r="P114" s="25"/>
      <c r="Q114" s="25"/>
      <c r="R114" s="25"/>
      <c r="S114" s="25"/>
      <c r="T114" s="53">
        <v>0</v>
      </c>
      <c r="U114" s="25"/>
      <c r="V114" s="5"/>
    </row>
    <row r="115" spans="1:22" x14ac:dyDescent="0.35">
      <c r="A115" s="24">
        <f t="shared" si="0"/>
        <v>10</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11</v>
      </c>
      <c r="B116" s="25" t="s">
        <v>38</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12</v>
      </c>
      <c r="B117" s="25" t="s">
        <v>156</v>
      </c>
      <c r="C117" s="25"/>
      <c r="D117" s="25"/>
      <c r="E117" s="25"/>
      <c r="F117" s="25"/>
      <c r="G117" s="25"/>
      <c r="H117" s="25"/>
      <c r="I117" s="25"/>
      <c r="J117" s="25"/>
      <c r="K117" s="25"/>
      <c r="L117" s="25"/>
      <c r="M117" s="25"/>
      <c r="N117" s="25"/>
      <c r="O117" s="25"/>
      <c r="P117" s="25"/>
      <c r="Q117" s="25"/>
      <c r="R117" s="25"/>
      <c r="S117" s="25"/>
      <c r="T117" s="53">
        <v>-369</v>
      </c>
      <c r="U117" s="25"/>
      <c r="V117" s="5"/>
    </row>
    <row r="118" spans="1:22" x14ac:dyDescent="0.35">
      <c r="A118" s="24">
        <f t="shared" si="0"/>
        <v>13</v>
      </c>
      <c r="B118" s="25" t="s">
        <v>133</v>
      </c>
      <c r="C118" s="25"/>
      <c r="D118" s="25"/>
      <c r="E118" s="25"/>
      <c r="F118" s="25"/>
      <c r="G118" s="25"/>
      <c r="H118" s="25"/>
      <c r="I118" s="25"/>
      <c r="J118" s="25"/>
      <c r="K118" s="25"/>
      <c r="L118" s="25"/>
      <c r="M118" s="25"/>
      <c r="N118" s="25"/>
      <c r="O118" s="25"/>
      <c r="P118" s="25"/>
      <c r="Q118" s="25"/>
      <c r="R118" s="25"/>
      <c r="S118" s="25"/>
      <c r="T118" s="53">
        <f>-T99-SUM(T101:T117)</f>
        <v>-3058</v>
      </c>
      <c r="U118" s="25"/>
      <c r="V118" s="5"/>
    </row>
    <row r="119" spans="1:22" x14ac:dyDescent="0.35">
      <c r="A119" s="24"/>
      <c r="B119" s="118" t="s">
        <v>39</v>
      </c>
      <c r="C119" s="25"/>
      <c r="D119" s="25"/>
      <c r="E119" s="25"/>
      <c r="F119" s="25"/>
      <c r="G119" s="25"/>
      <c r="H119" s="25"/>
      <c r="I119" s="25"/>
      <c r="J119" s="25"/>
      <c r="K119" s="25"/>
      <c r="L119" s="25"/>
      <c r="M119" s="25"/>
      <c r="N119" s="25"/>
      <c r="O119" s="25"/>
      <c r="P119" s="25"/>
      <c r="Q119" s="25"/>
      <c r="R119" s="25"/>
      <c r="S119" s="25"/>
      <c r="T119" s="59"/>
      <c r="U119" s="25"/>
      <c r="V119" s="5"/>
    </row>
    <row r="120" spans="1:22" x14ac:dyDescent="0.35">
      <c r="A120" s="24"/>
      <c r="B120" s="25" t="s">
        <v>184</v>
      </c>
      <c r="C120" s="25"/>
      <c r="D120" s="25"/>
      <c r="E120" s="25"/>
      <c r="F120" s="25"/>
      <c r="G120" s="25"/>
      <c r="H120" s="25"/>
      <c r="I120" s="25"/>
      <c r="J120" s="25"/>
      <c r="K120" s="25"/>
      <c r="L120" s="25"/>
      <c r="M120" s="25"/>
      <c r="N120" s="25"/>
      <c r="O120" s="25"/>
      <c r="P120" s="25"/>
      <c r="Q120" s="25"/>
      <c r="R120" s="34">
        <f>-R179</f>
        <v>-666</v>
      </c>
      <c r="S120" s="34"/>
      <c r="T120" s="53"/>
      <c r="U120" s="25"/>
      <c r="V120" s="5"/>
    </row>
    <row r="121" spans="1:22" x14ac:dyDescent="0.35">
      <c r="A121" s="24"/>
      <c r="B121" s="25" t="s">
        <v>185</v>
      </c>
      <c r="C121" s="25"/>
      <c r="D121" s="25"/>
      <c r="E121" s="25"/>
      <c r="F121" s="25"/>
      <c r="G121" s="25"/>
      <c r="H121" s="25"/>
      <c r="I121" s="25"/>
      <c r="J121" s="25"/>
      <c r="K121" s="25"/>
      <c r="L121" s="25"/>
      <c r="M121" s="25"/>
      <c r="N121" s="25"/>
      <c r="O121" s="25"/>
      <c r="P121" s="25"/>
      <c r="Q121" s="25"/>
      <c r="R121" s="34">
        <v>-138</v>
      </c>
      <c r="S121" s="34"/>
      <c r="T121" s="53"/>
      <c r="U121" s="25"/>
      <c r="V121" s="5"/>
    </row>
    <row r="122" spans="1:22" x14ac:dyDescent="0.35">
      <c r="A122" s="24"/>
      <c r="B122" s="25" t="s">
        <v>40</v>
      </c>
      <c r="C122" s="25"/>
      <c r="D122" s="25"/>
      <c r="E122" s="25"/>
      <c r="F122" s="25"/>
      <c r="G122" s="25"/>
      <c r="H122" s="25"/>
      <c r="I122" s="25"/>
      <c r="J122" s="25"/>
      <c r="K122" s="25"/>
      <c r="L122" s="25"/>
      <c r="M122" s="25"/>
      <c r="N122" s="25"/>
      <c r="O122" s="25"/>
      <c r="P122" s="25"/>
      <c r="Q122" s="25"/>
      <c r="R122" s="34">
        <f>-Q179</f>
        <v>-4969</v>
      </c>
      <c r="S122" s="34"/>
      <c r="T122" s="53"/>
      <c r="U122" s="25"/>
      <c r="V122" s="5"/>
    </row>
    <row r="123" spans="1:22" x14ac:dyDescent="0.35">
      <c r="A123" s="24"/>
      <c r="B123" s="25" t="s">
        <v>231</v>
      </c>
      <c r="C123" s="25"/>
      <c r="D123" s="25"/>
      <c r="E123" s="25"/>
      <c r="F123" s="25"/>
      <c r="G123" s="25"/>
      <c r="H123" s="25"/>
      <c r="I123" s="25"/>
      <c r="J123" s="25"/>
      <c r="K123" s="25"/>
      <c r="L123" s="25"/>
      <c r="M123" s="25"/>
      <c r="N123" s="25"/>
      <c r="O123" s="25"/>
      <c r="P123" s="25"/>
      <c r="Q123" s="25"/>
      <c r="R123" s="34">
        <v>-17028</v>
      </c>
      <c r="S123" s="34"/>
      <c r="T123" s="53"/>
      <c r="U123" s="25"/>
      <c r="V123" s="5"/>
    </row>
    <row r="124" spans="1:22" x14ac:dyDescent="0.35">
      <c r="A124" s="24"/>
      <c r="B124" s="25" t="s">
        <v>229</v>
      </c>
      <c r="C124" s="25"/>
      <c r="D124" s="25"/>
      <c r="E124" s="25"/>
      <c r="F124" s="25"/>
      <c r="G124" s="25"/>
      <c r="H124" s="25"/>
      <c r="I124" s="25"/>
      <c r="J124" s="25"/>
      <c r="K124" s="25"/>
      <c r="L124" s="25"/>
      <c r="M124" s="25"/>
      <c r="N124" s="25"/>
      <c r="O124" s="25"/>
      <c r="P124" s="25"/>
      <c r="Q124" s="25"/>
      <c r="R124" s="34">
        <v>0</v>
      </c>
      <c r="S124" s="34"/>
      <c r="T124" s="53"/>
      <c r="U124" s="25"/>
      <c r="V124" s="5"/>
    </row>
    <row r="125" spans="1:22" x14ac:dyDescent="0.35">
      <c r="A125" s="24"/>
      <c r="B125" s="25" t="s">
        <v>228</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221</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220</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219</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218</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41</v>
      </c>
      <c r="C130" s="25"/>
      <c r="D130" s="25"/>
      <c r="E130" s="25"/>
      <c r="F130" s="25"/>
      <c r="G130" s="25"/>
      <c r="H130" s="25"/>
      <c r="I130" s="25"/>
      <c r="J130" s="25"/>
      <c r="K130" s="25"/>
      <c r="L130" s="25"/>
      <c r="M130" s="25"/>
      <c r="N130" s="25"/>
      <c r="O130" s="25"/>
      <c r="P130" s="25"/>
      <c r="Q130" s="25"/>
      <c r="R130" s="34">
        <f>SUM(R120:R129)</f>
        <v>-22801</v>
      </c>
      <c r="S130" s="34"/>
      <c r="T130" s="34">
        <f>SUM(T100:T128)</f>
        <v>-15477</v>
      </c>
      <c r="U130" s="25"/>
      <c r="V130" s="5"/>
    </row>
    <row r="131" spans="1:22" x14ac:dyDescent="0.35">
      <c r="A131" s="24"/>
      <c r="B131" s="25" t="s">
        <v>42</v>
      </c>
      <c r="C131" s="25"/>
      <c r="D131" s="25"/>
      <c r="E131" s="25"/>
      <c r="F131" s="25"/>
      <c r="G131" s="25"/>
      <c r="H131" s="25"/>
      <c r="I131" s="25"/>
      <c r="J131" s="25"/>
      <c r="K131" s="25"/>
      <c r="L131" s="25"/>
      <c r="M131" s="25"/>
      <c r="N131" s="25"/>
      <c r="O131" s="25"/>
      <c r="P131" s="25"/>
      <c r="Q131" s="25"/>
      <c r="R131" s="34">
        <f>R99+R130</f>
        <v>0</v>
      </c>
      <c r="S131" s="34"/>
      <c r="T131" s="34">
        <f>T99+T130</f>
        <v>0</v>
      </c>
      <c r="U131" s="25"/>
      <c r="V131" s="5"/>
    </row>
    <row r="132" spans="1:22" x14ac:dyDescent="0.35">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x14ac:dyDescent="0.35">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4">
      <c r="A134" s="101"/>
      <c r="B134" s="102" t="str">
        <f>B64</f>
        <v>PM10 INVESTOR REPORT QUARTER ENDING AUGUST 2006</v>
      </c>
      <c r="C134" s="103"/>
      <c r="D134" s="103"/>
      <c r="E134" s="103"/>
      <c r="F134" s="103"/>
      <c r="G134" s="103"/>
      <c r="H134" s="103"/>
      <c r="I134" s="103"/>
      <c r="J134" s="103"/>
      <c r="K134" s="103"/>
      <c r="L134" s="103"/>
      <c r="M134" s="103"/>
      <c r="N134" s="103"/>
      <c r="O134" s="103"/>
      <c r="P134" s="103"/>
      <c r="Q134" s="103"/>
      <c r="R134" s="103"/>
      <c r="S134" s="103"/>
      <c r="T134" s="106"/>
      <c r="U134" s="105"/>
      <c r="V134" s="5"/>
    </row>
    <row r="135" spans="1:22" x14ac:dyDescent="0.35">
      <c r="A135" s="2"/>
      <c r="B135" s="60" t="s">
        <v>43</v>
      </c>
      <c r="C135" s="4"/>
      <c r="D135" s="4"/>
      <c r="E135" s="4"/>
      <c r="F135" s="4"/>
      <c r="G135" s="4"/>
      <c r="H135" s="4"/>
      <c r="I135" s="4"/>
      <c r="J135" s="4"/>
      <c r="K135" s="4"/>
      <c r="L135" s="4"/>
      <c r="M135" s="4"/>
      <c r="N135" s="4"/>
      <c r="O135" s="4"/>
      <c r="P135" s="4"/>
      <c r="Q135" s="4"/>
      <c r="R135" s="4"/>
      <c r="S135" s="4"/>
      <c r="T135" s="50"/>
      <c r="U135" s="4"/>
      <c r="V135" s="5"/>
    </row>
    <row r="136" spans="1:22" x14ac:dyDescent="0.35">
      <c r="A136" s="6"/>
      <c r="B136" s="21"/>
      <c r="C136" s="8"/>
      <c r="D136" s="8"/>
      <c r="E136" s="8"/>
      <c r="F136" s="8"/>
      <c r="G136" s="8"/>
      <c r="H136" s="8"/>
      <c r="I136" s="8"/>
      <c r="J136" s="8"/>
      <c r="K136" s="8"/>
      <c r="L136" s="8"/>
      <c r="M136" s="8"/>
      <c r="N136" s="8"/>
      <c r="O136" s="8"/>
      <c r="P136" s="8"/>
      <c r="Q136" s="8"/>
      <c r="R136" s="8"/>
      <c r="S136" s="8"/>
      <c r="T136" s="52"/>
      <c r="U136" s="8"/>
      <c r="V136" s="5"/>
    </row>
    <row r="137" spans="1:22" x14ac:dyDescent="0.35">
      <c r="A137" s="6"/>
      <c r="B137" s="119" t="s">
        <v>44</v>
      </c>
      <c r="C137" s="8"/>
      <c r="D137" s="8"/>
      <c r="E137" s="8"/>
      <c r="F137" s="8"/>
      <c r="G137" s="8"/>
      <c r="H137" s="8"/>
      <c r="I137" s="8"/>
      <c r="J137" s="8"/>
      <c r="K137" s="8"/>
      <c r="L137" s="8"/>
      <c r="M137" s="8"/>
      <c r="N137" s="8"/>
      <c r="O137" s="8"/>
      <c r="P137" s="8"/>
      <c r="Q137" s="8"/>
      <c r="R137" s="8"/>
      <c r="S137" s="8"/>
      <c r="T137" s="52"/>
      <c r="U137" s="8"/>
      <c r="V137" s="5"/>
    </row>
    <row r="138" spans="1:22" x14ac:dyDescent="0.35">
      <c r="A138" s="24"/>
      <c r="B138" s="25" t="s">
        <v>45</v>
      </c>
      <c r="C138" s="25"/>
      <c r="D138" s="25"/>
      <c r="E138" s="25"/>
      <c r="F138" s="25"/>
      <c r="G138" s="25"/>
      <c r="H138" s="25"/>
      <c r="I138" s="25"/>
      <c r="J138" s="25"/>
      <c r="K138" s="25"/>
      <c r="L138" s="25"/>
      <c r="M138" s="25"/>
      <c r="N138" s="25"/>
      <c r="O138" s="25"/>
      <c r="P138" s="25"/>
      <c r="Q138" s="25"/>
      <c r="R138" s="25"/>
      <c r="S138" s="25"/>
      <c r="T138" s="53">
        <f>+T34*0.0186</f>
        <v>18606.565799999997</v>
      </c>
      <c r="U138" s="25"/>
      <c r="V138" s="5"/>
    </row>
    <row r="139" spans="1:22" x14ac:dyDescent="0.35">
      <c r="A139" s="24"/>
      <c r="B139" s="25" t="s">
        <v>46</v>
      </c>
      <c r="C139" s="25"/>
      <c r="D139" s="25"/>
      <c r="E139" s="25"/>
      <c r="F139" s="25"/>
      <c r="G139" s="25"/>
      <c r="H139" s="25"/>
      <c r="I139" s="25"/>
      <c r="J139" s="25"/>
      <c r="K139" s="25"/>
      <c r="L139" s="25"/>
      <c r="M139" s="25"/>
      <c r="N139" s="25"/>
      <c r="O139" s="25"/>
      <c r="P139" s="25"/>
      <c r="Q139" s="25"/>
      <c r="R139" s="25"/>
      <c r="S139" s="25"/>
      <c r="T139" s="53">
        <v>18607</v>
      </c>
      <c r="U139" s="25"/>
      <c r="V139" s="5"/>
    </row>
    <row r="140" spans="1:22" x14ac:dyDescent="0.35">
      <c r="A140" s="24"/>
      <c r="B140" s="25" t="s">
        <v>143</v>
      </c>
      <c r="C140" s="25"/>
      <c r="D140" s="25"/>
      <c r="E140" s="25"/>
      <c r="F140" s="25"/>
      <c r="G140" s="25"/>
      <c r="H140" s="25"/>
      <c r="I140" s="25"/>
      <c r="J140" s="25"/>
      <c r="K140" s="25"/>
      <c r="L140" s="25"/>
      <c r="M140" s="25"/>
      <c r="N140" s="25"/>
      <c r="O140" s="25"/>
      <c r="P140" s="25"/>
      <c r="Q140" s="25"/>
      <c r="R140" s="25"/>
      <c r="S140" s="25"/>
      <c r="T140" s="53">
        <v>0</v>
      </c>
      <c r="U140" s="25"/>
      <c r="V140" s="5"/>
    </row>
    <row r="141" spans="1:22" x14ac:dyDescent="0.35">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131</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186</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47</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136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222</v>
      </c>
      <c r="C146" s="25"/>
      <c r="D146" s="25"/>
      <c r="E146" s="25"/>
      <c r="F146" s="25"/>
      <c r="G146" s="25"/>
      <c r="H146" s="25"/>
      <c r="I146" s="25"/>
      <c r="J146" s="25"/>
      <c r="K146" s="25"/>
      <c r="L146" s="25"/>
      <c r="M146" s="25"/>
      <c r="N146" s="25"/>
      <c r="O146" s="25"/>
      <c r="P146" s="25"/>
      <c r="Q146" s="25"/>
      <c r="R146" s="25"/>
      <c r="S146" s="25"/>
      <c r="T146" s="53">
        <v>0</v>
      </c>
      <c r="U146" s="25"/>
      <c r="V146" s="5"/>
      <c r="W146" s="109"/>
    </row>
    <row r="147" spans="1:23" x14ac:dyDescent="0.35">
      <c r="A147" s="24"/>
      <c r="B147" s="25" t="s">
        <v>48</v>
      </c>
      <c r="C147" s="25"/>
      <c r="D147" s="25"/>
      <c r="E147" s="25"/>
      <c r="F147" s="25"/>
      <c r="G147" s="25"/>
      <c r="H147" s="25"/>
      <c r="I147" s="25"/>
      <c r="J147" s="25"/>
      <c r="K147" s="25"/>
      <c r="L147" s="25"/>
      <c r="M147" s="25"/>
      <c r="N147" s="25"/>
      <c r="O147" s="25"/>
      <c r="P147" s="25"/>
      <c r="Q147" s="25"/>
      <c r="R147" s="25"/>
      <c r="S147" s="25"/>
      <c r="T147" s="53">
        <f>SUM(T139:T146)</f>
        <v>18607</v>
      </c>
      <c r="U147" s="25"/>
      <c r="V147" s="5"/>
    </row>
    <row r="148" spans="1:23" x14ac:dyDescent="0.35">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x14ac:dyDescent="0.35">
      <c r="A149" s="24"/>
      <c r="B149" s="139" t="s">
        <v>266</v>
      </c>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25" t="s">
        <v>163</v>
      </c>
      <c r="C150" s="25"/>
      <c r="D150" s="25"/>
      <c r="E150" s="25"/>
      <c r="F150" s="25"/>
      <c r="G150" s="25"/>
      <c r="H150" s="25"/>
      <c r="I150" s="25"/>
      <c r="J150" s="25"/>
      <c r="K150" s="25"/>
      <c r="L150" s="25"/>
      <c r="M150" s="25"/>
      <c r="N150" s="25"/>
      <c r="O150" s="25"/>
      <c r="P150" s="25"/>
      <c r="Q150" s="25"/>
      <c r="R150" s="25"/>
      <c r="S150" s="25"/>
      <c r="T150" s="53">
        <v>5750</v>
      </c>
      <c r="U150" s="25"/>
      <c r="V150" s="5"/>
    </row>
    <row r="151" spans="1:23" x14ac:dyDescent="0.35">
      <c r="A151" s="24"/>
      <c r="B151" s="25" t="s">
        <v>264</v>
      </c>
      <c r="C151" s="25"/>
      <c r="D151" s="25"/>
      <c r="E151" s="25"/>
      <c r="F151" s="25"/>
      <c r="G151" s="25"/>
      <c r="H151" s="25"/>
      <c r="I151" s="25"/>
      <c r="J151" s="25"/>
      <c r="K151" s="25"/>
      <c r="L151" s="25"/>
      <c r="M151" s="25"/>
      <c r="N151" s="25"/>
      <c r="O151" s="25"/>
      <c r="P151" s="25"/>
      <c r="Q151" s="25"/>
      <c r="R151" s="25"/>
      <c r="S151" s="25"/>
      <c r="T151" s="53">
        <v>5367</v>
      </c>
      <c r="U151" s="25"/>
      <c r="V151" s="5"/>
    </row>
    <row r="152" spans="1:23" x14ac:dyDescent="0.35">
      <c r="A152" s="24"/>
      <c r="B152" s="25" t="s">
        <v>183</v>
      </c>
      <c r="C152" s="25"/>
      <c r="D152" s="25"/>
      <c r="E152" s="25"/>
      <c r="F152" s="25"/>
      <c r="G152" s="25"/>
      <c r="H152" s="25"/>
      <c r="I152" s="25"/>
      <c r="J152" s="25"/>
      <c r="K152" s="25"/>
      <c r="L152" s="25"/>
      <c r="M152" s="25"/>
      <c r="N152" s="25"/>
      <c r="O152" s="25"/>
      <c r="P152" s="25"/>
      <c r="Q152" s="25"/>
      <c r="R152" s="25"/>
      <c r="S152" s="25"/>
      <c r="T152" s="53">
        <v>0</v>
      </c>
      <c r="U152" s="25"/>
      <c r="V152" s="5"/>
    </row>
    <row r="153" spans="1:23" x14ac:dyDescent="0.35">
      <c r="A153" s="24"/>
      <c r="B153" s="25" t="s">
        <v>267</v>
      </c>
      <c r="C153" s="25"/>
      <c r="D153" s="25"/>
      <c r="E153" s="25"/>
      <c r="F153" s="25"/>
      <c r="G153" s="25"/>
      <c r="H153" s="25"/>
      <c r="I153" s="25"/>
      <c r="J153" s="25"/>
      <c r="K153" s="25"/>
      <c r="L153" s="25"/>
      <c r="M153" s="25"/>
      <c r="N153" s="25"/>
      <c r="O153" s="25"/>
      <c r="P153" s="25"/>
      <c r="Q153" s="25"/>
      <c r="R153" s="25"/>
      <c r="S153" s="25"/>
      <c r="T153" s="53">
        <v>5048</v>
      </c>
      <c r="U153" s="25"/>
      <c r="V153" s="5"/>
    </row>
    <row r="154" spans="1:23" x14ac:dyDescent="0.35">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x14ac:dyDescent="0.35">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x14ac:dyDescent="0.35">
      <c r="A156" s="6"/>
      <c r="B156" s="119" t="s">
        <v>24</v>
      </c>
      <c r="C156" s="8"/>
      <c r="D156" s="8"/>
      <c r="E156" s="8"/>
      <c r="F156" s="8"/>
      <c r="G156" s="8"/>
      <c r="H156" s="8"/>
      <c r="I156" s="8"/>
      <c r="J156" s="8"/>
      <c r="K156" s="8"/>
      <c r="L156" s="8"/>
      <c r="M156" s="8"/>
      <c r="N156" s="8"/>
      <c r="O156" s="8"/>
      <c r="P156" s="8"/>
      <c r="Q156" s="8"/>
      <c r="R156" s="8"/>
      <c r="S156" s="8"/>
      <c r="T156" s="52"/>
      <c r="U156" s="8"/>
      <c r="V156" s="5"/>
    </row>
    <row r="157" spans="1:23" x14ac:dyDescent="0.35">
      <c r="A157" s="24"/>
      <c r="B157" s="25" t="s">
        <v>49</v>
      </c>
      <c r="C157" s="25"/>
      <c r="D157" s="25"/>
      <c r="E157" s="25"/>
      <c r="F157" s="25"/>
      <c r="G157" s="25"/>
      <c r="H157" s="25"/>
      <c r="I157" s="25"/>
      <c r="J157" s="25"/>
      <c r="K157" s="25"/>
      <c r="L157" s="25"/>
      <c r="M157" s="25"/>
      <c r="N157" s="25"/>
      <c r="O157" s="25"/>
      <c r="P157" s="25"/>
      <c r="Q157" s="25"/>
      <c r="R157" s="25"/>
      <c r="S157" s="25"/>
      <c r="T157" s="59" t="s">
        <v>125</v>
      </c>
      <c r="U157" s="25"/>
      <c r="V157" s="5"/>
    </row>
    <row r="158" spans="1:23" x14ac:dyDescent="0.35">
      <c r="A158" s="24"/>
      <c r="B158" s="25" t="s">
        <v>50</v>
      </c>
      <c r="C158" s="164"/>
      <c r="D158" s="164"/>
      <c r="E158" s="164"/>
      <c r="F158" s="164"/>
      <c r="G158" s="164"/>
      <c r="H158" s="164"/>
      <c r="I158" s="164"/>
      <c r="J158" s="164"/>
      <c r="K158" s="164"/>
      <c r="L158" s="164"/>
      <c r="M158" s="164"/>
      <c r="N158" s="164"/>
      <c r="O158" s="164"/>
      <c r="P158" s="164"/>
      <c r="Q158" s="164"/>
      <c r="R158" s="164"/>
      <c r="S158" s="164"/>
      <c r="T158" s="59" t="s">
        <v>125</v>
      </c>
      <c r="U158" s="25"/>
      <c r="V158" s="5"/>
    </row>
    <row r="159" spans="1:23" x14ac:dyDescent="0.35">
      <c r="A159" s="24"/>
      <c r="B159" s="25" t="s">
        <v>51</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52</v>
      </c>
      <c r="C160" s="25"/>
      <c r="D160" s="25"/>
      <c r="E160" s="25"/>
      <c r="F160" s="25"/>
      <c r="G160" s="25"/>
      <c r="H160" s="25"/>
      <c r="I160" s="25"/>
      <c r="J160" s="25"/>
      <c r="K160" s="25"/>
      <c r="L160" s="25"/>
      <c r="M160" s="25"/>
      <c r="N160" s="25"/>
      <c r="O160" s="25"/>
      <c r="P160" s="25"/>
      <c r="Q160" s="25"/>
      <c r="R160" s="25"/>
      <c r="S160" s="25"/>
      <c r="T160" s="59" t="s">
        <v>125</v>
      </c>
      <c r="U160" s="25"/>
      <c r="V160" s="5"/>
    </row>
    <row r="161" spans="1:22" x14ac:dyDescent="0.35">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x14ac:dyDescent="0.35">
      <c r="A162" s="6"/>
      <c r="B162" s="119" t="s">
        <v>53</v>
      </c>
      <c r="C162" s="8"/>
      <c r="D162" s="8"/>
      <c r="E162" s="8"/>
      <c r="F162" s="8"/>
      <c r="G162" s="8"/>
      <c r="H162" s="8"/>
      <c r="I162" s="8"/>
      <c r="J162" s="8"/>
      <c r="K162" s="8"/>
      <c r="L162" s="8"/>
      <c r="M162" s="8"/>
      <c r="N162" s="8"/>
      <c r="O162" s="8"/>
      <c r="P162" s="8"/>
      <c r="Q162" s="8"/>
      <c r="R162" s="8"/>
      <c r="S162" s="8"/>
      <c r="T162" s="63"/>
      <c r="U162" s="8"/>
      <c r="V162" s="5"/>
    </row>
    <row r="163" spans="1:22" x14ac:dyDescent="0.35">
      <c r="A163" s="24"/>
      <c r="B163" s="25" t="s">
        <v>54</v>
      </c>
      <c r="C163" s="25"/>
      <c r="D163" s="25"/>
      <c r="E163" s="25"/>
      <c r="F163" s="25"/>
      <c r="G163" s="25"/>
      <c r="H163" s="25"/>
      <c r="I163" s="25"/>
      <c r="J163" s="25"/>
      <c r="K163" s="25"/>
      <c r="L163" s="25"/>
      <c r="M163" s="25"/>
      <c r="N163" s="25"/>
      <c r="O163" s="25"/>
      <c r="P163" s="25"/>
      <c r="Q163" s="25"/>
      <c r="R163" s="25"/>
      <c r="S163" s="25"/>
      <c r="T163" s="53">
        <v>0</v>
      </c>
      <c r="U163" s="25"/>
      <c r="V163" s="5"/>
    </row>
    <row r="164" spans="1:22" x14ac:dyDescent="0.35">
      <c r="A164" s="24"/>
      <c r="B164" s="25" t="s">
        <v>55</v>
      </c>
      <c r="C164" s="25"/>
      <c r="D164" s="25"/>
      <c r="E164" s="25"/>
      <c r="F164" s="25"/>
      <c r="G164" s="25"/>
      <c r="H164" s="25"/>
      <c r="I164" s="25"/>
      <c r="J164" s="25"/>
      <c r="K164" s="25"/>
      <c r="L164" s="25"/>
      <c r="M164" s="25"/>
      <c r="N164" s="25"/>
      <c r="O164" s="25"/>
      <c r="P164" s="25"/>
      <c r="Q164" s="25"/>
      <c r="R164" s="25"/>
      <c r="S164" s="25"/>
      <c r="T164" s="53">
        <v>0</v>
      </c>
      <c r="U164" s="25"/>
      <c r="V164" s="5"/>
    </row>
    <row r="165" spans="1:22" x14ac:dyDescent="0.35">
      <c r="A165" s="24"/>
      <c r="B165" s="25" t="s">
        <v>56</v>
      </c>
      <c r="C165" s="25"/>
      <c r="D165" s="25"/>
      <c r="E165" s="25"/>
      <c r="F165" s="25"/>
      <c r="G165" s="25"/>
      <c r="H165" s="25"/>
      <c r="I165" s="25"/>
      <c r="J165" s="25"/>
      <c r="K165" s="25"/>
      <c r="L165" s="25"/>
      <c r="M165" s="25"/>
      <c r="N165" s="25"/>
      <c r="O165" s="25"/>
      <c r="P165" s="25"/>
      <c r="Q165" s="25"/>
      <c r="R165" s="25"/>
      <c r="S165" s="25"/>
      <c r="T165" s="53">
        <f>T164+T163</f>
        <v>0</v>
      </c>
      <c r="U165" s="25"/>
      <c r="V165" s="5"/>
    </row>
    <row r="166" spans="1:22" x14ac:dyDescent="0.35">
      <c r="A166" s="24"/>
      <c r="B166" s="25" t="s">
        <v>315</v>
      </c>
      <c r="C166" s="25"/>
      <c r="D166" s="25"/>
      <c r="E166" s="25"/>
      <c r="F166" s="25"/>
      <c r="G166" s="25"/>
      <c r="H166" s="25"/>
      <c r="I166" s="25"/>
      <c r="J166" s="25"/>
      <c r="K166" s="25"/>
      <c r="L166" s="25"/>
      <c r="M166" s="25"/>
      <c r="N166" s="25"/>
      <c r="O166" s="25"/>
      <c r="P166" s="25"/>
      <c r="Q166" s="25"/>
      <c r="R166" s="25"/>
      <c r="S166" s="25"/>
      <c r="T166" s="53">
        <f>T114</f>
        <v>0</v>
      </c>
      <c r="U166" s="25"/>
      <c r="V166" s="5"/>
    </row>
    <row r="167" spans="1:22" x14ac:dyDescent="0.35">
      <c r="A167" s="24"/>
      <c r="B167" s="25" t="s">
        <v>57</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 thickBot="1" x14ac:dyDescent="0.4">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x14ac:dyDescent="0.35">
      <c r="A169" s="2"/>
      <c r="B169" s="4"/>
      <c r="C169" s="4"/>
      <c r="D169" s="4"/>
      <c r="E169" s="4"/>
      <c r="F169" s="4"/>
      <c r="G169" s="4"/>
      <c r="H169" s="4"/>
      <c r="I169" s="4"/>
      <c r="J169" s="4"/>
      <c r="K169" s="4"/>
      <c r="L169" s="4"/>
      <c r="M169" s="4"/>
      <c r="N169" s="4"/>
      <c r="O169" s="4"/>
      <c r="P169" s="4"/>
      <c r="Q169" s="4"/>
      <c r="R169" s="4"/>
      <c r="S169" s="4"/>
      <c r="T169" s="50"/>
      <c r="U169" s="4"/>
      <c r="V169" s="5"/>
    </row>
    <row r="170" spans="1:22" x14ac:dyDescent="0.35">
      <c r="A170" s="6"/>
      <c r="B170" s="119" t="s">
        <v>58</v>
      </c>
      <c r="C170" s="8"/>
      <c r="D170" s="8"/>
      <c r="E170" s="8"/>
      <c r="F170" s="8"/>
      <c r="G170" s="8"/>
      <c r="H170" s="8"/>
      <c r="I170" s="8"/>
      <c r="J170" s="8"/>
      <c r="K170" s="8"/>
      <c r="L170" s="8"/>
      <c r="M170" s="8"/>
      <c r="N170" s="8"/>
      <c r="O170" s="8"/>
      <c r="P170" s="8"/>
      <c r="Q170" s="8"/>
      <c r="R170" s="8"/>
      <c r="S170" s="8"/>
      <c r="T170" s="52"/>
      <c r="U170" s="8"/>
      <c r="V170" s="5"/>
    </row>
    <row r="171" spans="1:22" x14ac:dyDescent="0.35">
      <c r="A171" s="6"/>
      <c r="B171" s="21"/>
      <c r="C171" s="8"/>
      <c r="D171" s="8"/>
      <c r="E171" s="8"/>
      <c r="F171" s="8"/>
      <c r="G171" s="8"/>
      <c r="H171" s="8"/>
      <c r="I171" s="8"/>
      <c r="J171" s="8"/>
      <c r="K171" s="8"/>
      <c r="L171" s="8"/>
      <c r="M171" s="8"/>
      <c r="N171" s="8"/>
      <c r="O171" s="8"/>
      <c r="P171" s="8"/>
      <c r="Q171" s="8"/>
      <c r="R171" s="8"/>
      <c r="S171" s="8"/>
      <c r="T171" s="52"/>
      <c r="U171" s="8"/>
      <c r="V171" s="5"/>
    </row>
    <row r="172" spans="1:22" x14ac:dyDescent="0.35">
      <c r="A172" s="24"/>
      <c r="B172" s="25" t="s">
        <v>59</v>
      </c>
      <c r="C172" s="25"/>
      <c r="D172" s="25"/>
      <c r="E172" s="25"/>
      <c r="F172" s="25"/>
      <c r="G172" s="25"/>
      <c r="H172" s="25"/>
      <c r="I172" s="25"/>
      <c r="J172" s="25"/>
      <c r="K172" s="25"/>
      <c r="L172" s="25"/>
      <c r="M172" s="25"/>
      <c r="N172" s="25"/>
      <c r="O172" s="25"/>
      <c r="P172" s="25"/>
      <c r="Q172" s="25"/>
      <c r="R172" s="25"/>
      <c r="S172" s="25"/>
      <c r="T172" s="53">
        <f>T72</f>
        <v>960358</v>
      </c>
      <c r="U172" s="25"/>
      <c r="V172" s="5"/>
    </row>
    <row r="173" spans="1:22" x14ac:dyDescent="0.35">
      <c r="A173" s="24"/>
      <c r="B173" s="25" t="s">
        <v>60</v>
      </c>
      <c r="C173" s="25"/>
      <c r="D173" s="25"/>
      <c r="E173" s="25"/>
      <c r="F173" s="25"/>
      <c r="G173" s="25"/>
      <c r="H173" s="25"/>
      <c r="I173" s="25"/>
      <c r="J173" s="25"/>
      <c r="K173" s="25"/>
      <c r="L173" s="25"/>
      <c r="M173" s="25"/>
      <c r="N173" s="25"/>
      <c r="O173" s="25"/>
      <c r="P173" s="25"/>
      <c r="Q173" s="25"/>
      <c r="R173" s="25"/>
      <c r="S173" s="25"/>
      <c r="T173" s="53">
        <f>T85</f>
        <v>960358</v>
      </c>
      <c r="U173" s="25"/>
      <c r="V173" s="5"/>
    </row>
    <row r="174" spans="1:22" ht="16" thickBot="1" x14ac:dyDescent="0.4">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x14ac:dyDescent="0.35">
      <c r="A175" s="2"/>
      <c r="B175" s="4"/>
      <c r="C175" s="4"/>
      <c r="D175" s="4"/>
      <c r="E175" s="4"/>
      <c r="F175" s="4"/>
      <c r="G175" s="4"/>
      <c r="H175" s="4"/>
      <c r="I175" s="4"/>
      <c r="J175" s="4"/>
      <c r="K175" s="4"/>
      <c r="L175" s="4"/>
      <c r="M175" s="4"/>
      <c r="N175" s="4"/>
      <c r="O175" s="4"/>
      <c r="P175" s="4"/>
      <c r="Q175" s="4"/>
      <c r="R175" s="4"/>
      <c r="S175" s="4"/>
      <c r="T175" s="50"/>
      <c r="U175" s="4"/>
      <c r="V175" s="5"/>
    </row>
    <row r="176" spans="1:22" x14ac:dyDescent="0.35">
      <c r="A176" s="6"/>
      <c r="B176" s="119" t="s">
        <v>61</v>
      </c>
      <c r="C176" s="117"/>
      <c r="D176" s="117"/>
      <c r="E176" s="117"/>
      <c r="F176" s="117"/>
      <c r="G176" s="117"/>
      <c r="H176" s="120"/>
      <c r="I176" s="120"/>
      <c r="J176" s="120"/>
      <c r="K176" s="120"/>
      <c r="L176" s="120"/>
      <c r="M176" s="120"/>
      <c r="N176" s="120"/>
      <c r="O176" s="120"/>
      <c r="P176" s="120"/>
      <c r="Q176" s="120" t="s">
        <v>105</v>
      </c>
      <c r="R176" s="120" t="s">
        <v>187</v>
      </c>
      <c r="S176" s="111"/>
      <c r="T176" s="121" t="s">
        <v>121</v>
      </c>
      <c r="U176" s="10"/>
      <c r="V176" s="5"/>
    </row>
    <row r="177" spans="1:22" x14ac:dyDescent="0.35">
      <c r="A177" s="24"/>
      <c r="B177" s="25" t="s">
        <v>62</v>
      </c>
      <c r="C177" s="25"/>
      <c r="D177" s="25"/>
      <c r="E177" s="25"/>
      <c r="F177" s="25"/>
      <c r="G177" s="25"/>
      <c r="H177" s="25"/>
      <c r="I177" s="25"/>
      <c r="J177" s="25"/>
      <c r="K177" s="25"/>
      <c r="L177" s="25"/>
      <c r="M177" s="25"/>
      <c r="N177" s="25"/>
      <c r="O177" s="25"/>
      <c r="P177" s="25"/>
      <c r="Q177" s="53">
        <f>+T34*0.16</f>
        <v>160056.48000000001</v>
      </c>
      <c r="R177" s="40"/>
      <c r="S177" s="25"/>
      <c r="T177" s="53"/>
      <c r="U177" s="25"/>
      <c r="V177" s="5"/>
    </row>
    <row r="178" spans="1:22" x14ac:dyDescent="0.35">
      <c r="A178" s="24"/>
      <c r="B178" s="25" t="s">
        <v>63</v>
      </c>
      <c r="C178" s="25"/>
      <c r="D178" s="25"/>
      <c r="E178" s="25"/>
      <c r="F178" s="25"/>
      <c r="G178" s="25"/>
      <c r="H178" s="25"/>
      <c r="I178" s="25"/>
      <c r="J178" s="25"/>
      <c r="K178" s="25"/>
      <c r="L178" s="25"/>
      <c r="M178" s="25"/>
      <c r="N178" s="25"/>
      <c r="O178" s="25"/>
      <c r="P178" s="25"/>
      <c r="Q178" s="53">
        <f>'May 06'!Q180</f>
        <v>8016</v>
      </c>
      <c r="R178" s="53">
        <f>'May 06'!R180</f>
        <v>4029</v>
      </c>
      <c r="S178" s="25"/>
      <c r="T178" s="53">
        <f>Q178+R178</f>
        <v>12045</v>
      </c>
      <c r="U178" s="25"/>
      <c r="V178" s="5"/>
    </row>
    <row r="179" spans="1:22" x14ac:dyDescent="0.35">
      <c r="A179" s="24"/>
      <c r="B179" s="25" t="s">
        <v>64</v>
      </c>
      <c r="C179" s="25"/>
      <c r="D179" s="25"/>
      <c r="E179" s="25"/>
      <c r="F179" s="25"/>
      <c r="G179" s="25"/>
      <c r="H179" s="25"/>
      <c r="I179" s="25"/>
      <c r="J179" s="25"/>
      <c r="K179" s="25"/>
      <c r="L179" s="25"/>
      <c r="M179" s="25"/>
      <c r="N179" s="25"/>
      <c r="O179" s="25"/>
      <c r="P179" s="25"/>
      <c r="Q179" s="34">
        <v>4969</v>
      </c>
      <c r="R179" s="34">
        <v>666</v>
      </c>
      <c r="S179" s="25"/>
      <c r="T179" s="53">
        <f>Q179+R179</f>
        <v>5635</v>
      </c>
      <c r="U179" s="25"/>
      <c r="V179" s="5"/>
    </row>
    <row r="180" spans="1:22" x14ac:dyDescent="0.35">
      <c r="A180" s="24"/>
      <c r="B180" s="25" t="s">
        <v>65</v>
      </c>
      <c r="C180" s="25"/>
      <c r="D180" s="25"/>
      <c r="E180" s="25"/>
      <c r="F180" s="25"/>
      <c r="G180" s="25"/>
      <c r="H180" s="25"/>
      <c r="I180" s="25"/>
      <c r="J180" s="25"/>
      <c r="K180" s="25"/>
      <c r="L180" s="25"/>
      <c r="M180" s="25"/>
      <c r="N180" s="25"/>
      <c r="O180" s="25"/>
      <c r="P180" s="25"/>
      <c r="Q180" s="53">
        <f>Q178+Q179</f>
        <v>12985</v>
      </c>
      <c r="R180" s="53">
        <f>R179+R178</f>
        <v>4695</v>
      </c>
      <c r="S180" s="25"/>
      <c r="T180" s="53">
        <f>Q180+R180</f>
        <v>17680</v>
      </c>
      <c r="U180" s="25"/>
      <c r="V180" s="5"/>
    </row>
    <row r="181" spans="1:22" x14ac:dyDescent="0.35">
      <c r="A181" s="24"/>
      <c r="B181" s="25" t="s">
        <v>66</v>
      </c>
      <c r="C181" s="25"/>
      <c r="D181" s="25"/>
      <c r="E181" s="25"/>
      <c r="F181" s="25"/>
      <c r="G181" s="25"/>
      <c r="H181" s="25"/>
      <c r="I181" s="25"/>
      <c r="J181" s="25"/>
      <c r="K181" s="25"/>
      <c r="L181" s="25"/>
      <c r="M181" s="25"/>
      <c r="N181" s="25"/>
      <c r="O181" s="25"/>
      <c r="P181" s="25"/>
      <c r="Q181" s="53">
        <f>Q177-Q180-R180</f>
        <v>142376.48000000001</v>
      </c>
      <c r="R181" s="40"/>
      <c r="S181" s="25"/>
      <c r="T181" s="53"/>
      <c r="U181" s="25"/>
      <c r="V181" s="5"/>
    </row>
    <row r="182" spans="1:22" ht="16" thickBot="1" x14ac:dyDescent="0.4">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x14ac:dyDescent="0.35">
      <c r="A183" s="2"/>
      <c r="B183" s="4"/>
      <c r="C183" s="4"/>
      <c r="D183" s="4"/>
      <c r="E183" s="4"/>
      <c r="F183" s="4"/>
      <c r="G183" s="4"/>
      <c r="H183" s="4"/>
      <c r="I183" s="4"/>
      <c r="J183" s="4"/>
      <c r="K183" s="4"/>
      <c r="L183" s="4"/>
      <c r="M183" s="4"/>
      <c r="N183" s="4"/>
      <c r="O183" s="4"/>
      <c r="P183" s="4"/>
      <c r="Q183" s="4"/>
      <c r="R183" s="4"/>
      <c r="S183" s="4"/>
      <c r="T183" s="50"/>
      <c r="U183" s="4"/>
      <c r="V183" s="5"/>
    </row>
    <row r="184" spans="1:22" x14ac:dyDescent="0.35">
      <c r="A184" s="6"/>
      <c r="B184" s="119" t="s">
        <v>67</v>
      </c>
      <c r="C184" s="8"/>
      <c r="D184" s="8"/>
      <c r="E184" s="8"/>
      <c r="F184" s="8"/>
      <c r="G184" s="8"/>
      <c r="H184" s="8"/>
      <c r="I184" s="8"/>
      <c r="J184" s="8"/>
      <c r="K184" s="8"/>
      <c r="L184" s="8"/>
      <c r="M184" s="8"/>
      <c r="N184" s="8"/>
      <c r="O184" s="8"/>
      <c r="P184" s="8"/>
      <c r="Q184" s="8"/>
      <c r="R184" s="8"/>
      <c r="S184" s="8"/>
      <c r="T184" s="65"/>
      <c r="U184" s="8"/>
      <c r="V184" s="5"/>
    </row>
    <row r="185" spans="1:22" x14ac:dyDescent="0.35">
      <c r="A185" s="24"/>
      <c r="B185" s="25" t="s">
        <v>68</v>
      </c>
      <c r="C185" s="25"/>
      <c r="D185" s="25"/>
      <c r="E185" s="25"/>
      <c r="F185" s="25"/>
      <c r="G185" s="25"/>
      <c r="H185" s="25"/>
      <c r="I185" s="25"/>
      <c r="J185" s="25"/>
      <c r="K185" s="25"/>
      <c r="L185" s="25"/>
      <c r="M185" s="25"/>
      <c r="N185" s="25"/>
      <c r="O185" s="25"/>
      <c r="P185" s="25"/>
      <c r="Q185" s="25"/>
      <c r="R185" s="25"/>
      <c r="S185" s="25"/>
      <c r="T185" s="59">
        <f>(T99+T101+T102+T103+T104+T105)/-(T106+T107)</f>
        <v>1.4722434915773355</v>
      </c>
      <c r="U185" s="25" t="s">
        <v>122</v>
      </c>
      <c r="V185" s="5"/>
    </row>
    <row r="186" spans="1:22" x14ac:dyDescent="0.35">
      <c r="A186" s="24"/>
      <c r="B186" s="25" t="s">
        <v>69</v>
      </c>
      <c r="C186" s="25"/>
      <c r="D186" s="25"/>
      <c r="E186" s="25"/>
      <c r="F186" s="25"/>
      <c r="G186" s="25"/>
      <c r="H186" s="25"/>
      <c r="I186" s="25"/>
      <c r="J186" s="25"/>
      <c r="K186" s="25"/>
      <c r="L186" s="25"/>
      <c r="M186" s="25"/>
      <c r="N186" s="25"/>
      <c r="O186" s="25"/>
      <c r="P186" s="25"/>
      <c r="Q186" s="25"/>
      <c r="R186" s="25"/>
      <c r="S186" s="25"/>
      <c r="T186" s="66">
        <v>1.39</v>
      </c>
      <c r="U186" s="25" t="s">
        <v>122</v>
      </c>
      <c r="V186" s="5"/>
    </row>
    <row r="187" spans="1:22" x14ac:dyDescent="0.35">
      <c r="A187" s="24"/>
      <c r="B187" s="25" t="s">
        <v>70</v>
      </c>
      <c r="C187" s="25"/>
      <c r="D187" s="25"/>
      <c r="E187" s="25"/>
      <c r="F187" s="25"/>
      <c r="G187" s="25"/>
      <c r="H187" s="25"/>
      <c r="I187" s="25"/>
      <c r="J187" s="25"/>
      <c r="K187" s="25"/>
      <c r="L187" s="25"/>
      <c r="M187" s="25"/>
      <c r="N187" s="25"/>
      <c r="O187" s="25"/>
      <c r="P187" s="25"/>
      <c r="Q187" s="25"/>
      <c r="R187" s="25"/>
      <c r="S187" s="25"/>
      <c r="T187" s="59">
        <f>(T99+T101+T102+T103+T104+T105+T106+T107)/-(T108+T109)</f>
        <v>8.8422939068100366</v>
      </c>
      <c r="U187" s="25" t="s">
        <v>122</v>
      </c>
      <c r="V187" s="5"/>
    </row>
    <row r="188" spans="1:22" x14ac:dyDescent="0.35">
      <c r="A188" s="24"/>
      <c r="B188" s="25" t="s">
        <v>71</v>
      </c>
      <c r="C188" s="25"/>
      <c r="D188" s="25"/>
      <c r="E188" s="25"/>
      <c r="F188" s="25"/>
      <c r="G188" s="25"/>
      <c r="H188" s="25"/>
      <c r="I188" s="25"/>
      <c r="J188" s="25"/>
      <c r="K188" s="25"/>
      <c r="L188" s="25"/>
      <c r="M188" s="25"/>
      <c r="N188" s="25"/>
      <c r="O188" s="25"/>
      <c r="P188" s="25"/>
      <c r="Q188" s="25"/>
      <c r="R188" s="25"/>
      <c r="S188" s="25"/>
      <c r="T188" s="66">
        <v>7.39</v>
      </c>
      <c r="U188" s="25" t="s">
        <v>122</v>
      </c>
      <c r="V188" s="5"/>
    </row>
    <row r="189" spans="1:22" x14ac:dyDescent="0.35">
      <c r="A189" s="24"/>
      <c r="B189" s="25" t="s">
        <v>232</v>
      </c>
      <c r="C189" s="25"/>
      <c r="D189" s="25"/>
      <c r="E189" s="25"/>
      <c r="F189" s="25"/>
      <c r="G189" s="25"/>
      <c r="H189" s="25"/>
      <c r="I189" s="25"/>
      <c r="J189" s="25"/>
      <c r="K189" s="25"/>
      <c r="L189" s="25"/>
      <c r="M189" s="25"/>
      <c r="N189" s="25"/>
      <c r="O189" s="25"/>
      <c r="P189" s="25"/>
      <c r="Q189" s="25"/>
      <c r="R189" s="25"/>
      <c r="S189" s="25"/>
      <c r="T189" s="59">
        <f>(T99+T101+T102+T103+T104+T105+T106+T107+T108+T109)/-(T110+T111)</f>
        <v>4.6752136752136755</v>
      </c>
      <c r="U189" s="25" t="s">
        <v>122</v>
      </c>
      <c r="V189" s="5"/>
    </row>
    <row r="190" spans="1:22" x14ac:dyDescent="0.35">
      <c r="A190" s="24"/>
      <c r="B190" s="25" t="s">
        <v>233</v>
      </c>
      <c r="C190" s="25"/>
      <c r="D190" s="25"/>
      <c r="E190" s="25"/>
      <c r="F190" s="25"/>
      <c r="G190" s="25"/>
      <c r="H190" s="25"/>
      <c r="I190" s="25"/>
      <c r="J190" s="25"/>
      <c r="K190" s="25"/>
      <c r="L190" s="25"/>
      <c r="M190" s="25"/>
      <c r="N190" s="25"/>
      <c r="O190" s="25"/>
      <c r="P190" s="25"/>
      <c r="Q190" s="25"/>
      <c r="R190" s="25"/>
      <c r="S190" s="25"/>
      <c r="T190" s="66">
        <v>3.81</v>
      </c>
      <c r="U190" s="25" t="s">
        <v>122</v>
      </c>
      <c r="V190" s="5"/>
    </row>
    <row r="191" spans="1:22" x14ac:dyDescent="0.35">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x14ac:dyDescent="0.35">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4">
      <c r="A194" s="101"/>
      <c r="B194" s="102" t="str">
        <f>B134</f>
        <v>PM10 INVESTOR REPORT QUARTER ENDING AUGUST 2006</v>
      </c>
      <c r="C194" s="166"/>
      <c r="D194" s="166"/>
      <c r="E194" s="166"/>
      <c r="F194" s="166"/>
      <c r="G194" s="166"/>
      <c r="H194" s="166"/>
      <c r="I194" s="166"/>
      <c r="J194" s="166"/>
      <c r="K194" s="166"/>
      <c r="L194" s="166"/>
      <c r="M194" s="166"/>
      <c r="N194" s="166"/>
      <c r="O194" s="166"/>
      <c r="P194" s="166"/>
      <c r="Q194" s="166"/>
      <c r="R194" s="166"/>
      <c r="S194" s="166"/>
      <c r="T194" s="166"/>
      <c r="U194" s="167"/>
      <c r="V194" s="5"/>
    </row>
    <row r="195" spans="1:22" x14ac:dyDescent="0.35">
      <c r="A195" s="67"/>
      <c r="B195" s="60" t="s">
        <v>72</v>
      </c>
      <c r="C195" s="68"/>
      <c r="D195" s="68"/>
      <c r="E195" s="68"/>
      <c r="F195" s="68"/>
      <c r="G195" s="69"/>
      <c r="H195" s="69"/>
      <c r="I195" s="69"/>
      <c r="J195" s="69"/>
      <c r="K195" s="69"/>
      <c r="L195" s="69"/>
      <c r="M195" s="69"/>
      <c r="N195" s="69"/>
      <c r="O195" s="69"/>
      <c r="P195" s="69"/>
      <c r="Q195" s="69"/>
      <c r="R195" s="70">
        <v>38960</v>
      </c>
      <c r="S195" s="4"/>
      <c r="T195" s="4"/>
      <c r="U195" s="4"/>
      <c r="V195" s="5"/>
    </row>
    <row r="196" spans="1:22" x14ac:dyDescent="0.35">
      <c r="A196" s="71"/>
      <c r="B196" s="72"/>
      <c r="C196" s="73"/>
      <c r="D196" s="73"/>
      <c r="E196" s="73"/>
      <c r="F196" s="73"/>
      <c r="G196" s="74"/>
      <c r="H196" s="74"/>
      <c r="I196" s="74"/>
      <c r="J196" s="74"/>
      <c r="K196" s="74"/>
      <c r="L196" s="74"/>
      <c r="M196" s="74"/>
      <c r="N196" s="74"/>
      <c r="O196" s="74"/>
      <c r="P196" s="74"/>
      <c r="Q196" s="74"/>
      <c r="R196" s="74"/>
      <c r="S196" s="8"/>
      <c r="T196" s="8"/>
      <c r="U196" s="8"/>
      <c r="V196" s="5"/>
    </row>
    <row r="197" spans="1:22" x14ac:dyDescent="0.35">
      <c r="A197" s="75"/>
      <c r="B197" s="76" t="s">
        <v>73</v>
      </c>
      <c r="C197" s="77"/>
      <c r="D197" s="77"/>
      <c r="E197" s="77"/>
      <c r="F197" s="77"/>
      <c r="G197" s="64"/>
      <c r="H197" s="64"/>
      <c r="I197" s="64"/>
      <c r="J197" s="64"/>
      <c r="K197" s="64"/>
      <c r="L197" s="64"/>
      <c r="M197" s="64"/>
      <c r="N197" s="64"/>
      <c r="O197" s="64"/>
      <c r="P197" s="64"/>
      <c r="Q197" s="64"/>
      <c r="R197" s="78">
        <v>5.3960000000000001E-2</v>
      </c>
      <c r="S197" s="25"/>
      <c r="T197" s="25"/>
      <c r="U197" s="25"/>
      <c r="V197" s="5"/>
    </row>
    <row r="198" spans="1:22" x14ac:dyDescent="0.35">
      <c r="A198" s="75"/>
      <c r="B198" s="76" t="s">
        <v>159</v>
      </c>
      <c r="C198" s="77"/>
      <c r="D198" s="77"/>
      <c r="E198" s="77"/>
      <c r="F198" s="77"/>
      <c r="G198" s="64"/>
      <c r="H198" s="64"/>
      <c r="I198" s="64"/>
      <c r="J198" s="64"/>
      <c r="K198" s="64"/>
      <c r="L198" s="64"/>
      <c r="M198" s="64"/>
      <c r="N198" s="64"/>
      <c r="O198" s="64"/>
      <c r="P198" s="64"/>
      <c r="Q198" s="64"/>
      <c r="R198" s="39">
        <v>4.7399999999999998E-2</v>
      </c>
      <c r="S198" s="25"/>
      <c r="T198" s="25"/>
      <c r="U198" s="25"/>
      <c r="V198" s="5"/>
    </row>
    <row r="199" spans="1:22" x14ac:dyDescent="0.35">
      <c r="A199" s="75"/>
      <c r="B199" s="76" t="s">
        <v>74</v>
      </c>
      <c r="C199" s="77"/>
      <c r="D199" s="77"/>
      <c r="E199" s="77"/>
      <c r="F199" s="77"/>
      <c r="G199" s="64"/>
      <c r="H199" s="64"/>
      <c r="I199" s="64"/>
      <c r="J199" s="64"/>
      <c r="K199" s="64"/>
      <c r="L199" s="64"/>
      <c r="M199" s="64"/>
      <c r="N199" s="64"/>
      <c r="O199" s="64"/>
      <c r="P199" s="64"/>
      <c r="Q199" s="64"/>
      <c r="R199" s="78">
        <f>R197-R198</f>
        <v>6.5600000000000033E-3</v>
      </c>
      <c r="S199" s="25"/>
      <c r="T199" s="25"/>
      <c r="U199" s="25"/>
      <c r="V199" s="5"/>
    </row>
    <row r="200" spans="1:22" x14ac:dyDescent="0.35">
      <c r="A200" s="75"/>
      <c r="B200" s="76" t="s">
        <v>75</v>
      </c>
      <c r="C200" s="77"/>
      <c r="D200" s="77"/>
      <c r="E200" s="77"/>
      <c r="F200" s="77"/>
      <c r="G200" s="64"/>
      <c r="H200" s="64"/>
      <c r="I200" s="64"/>
      <c r="J200" s="64"/>
      <c r="K200" s="64"/>
      <c r="L200" s="64"/>
      <c r="M200" s="64"/>
      <c r="N200" s="64"/>
      <c r="O200" s="64"/>
      <c r="P200" s="64"/>
      <c r="Q200" s="64"/>
      <c r="R200" s="78">
        <v>5.4059999999999997E-2</v>
      </c>
      <c r="S200" s="25"/>
      <c r="T200" s="25"/>
      <c r="U200" s="25"/>
      <c r="V200" s="5"/>
    </row>
    <row r="201" spans="1:22" x14ac:dyDescent="0.35">
      <c r="A201" s="75"/>
      <c r="B201" s="76" t="s">
        <v>262</v>
      </c>
      <c r="C201" s="77"/>
      <c r="D201" s="77"/>
      <c r="E201" s="77"/>
      <c r="F201" s="77"/>
      <c r="G201" s="64"/>
      <c r="H201" s="64"/>
      <c r="I201" s="64"/>
      <c r="J201" s="64"/>
      <c r="K201" s="64"/>
      <c r="L201" s="64"/>
      <c r="M201" s="64"/>
      <c r="N201" s="64"/>
      <c r="O201" s="64"/>
      <c r="P201" s="64"/>
      <c r="Q201" s="64"/>
      <c r="R201" s="78">
        <f>T43</f>
        <v>4.8476775370266102E-2</v>
      </c>
      <c r="S201" s="25"/>
      <c r="T201" s="25"/>
      <c r="U201" s="25"/>
      <c r="V201" s="5"/>
    </row>
    <row r="202" spans="1:22" x14ac:dyDescent="0.35">
      <c r="A202" s="75"/>
      <c r="B202" s="76" t="s">
        <v>76</v>
      </c>
      <c r="C202" s="77"/>
      <c r="D202" s="77"/>
      <c r="E202" s="77"/>
      <c r="F202" s="77"/>
      <c r="G202" s="64"/>
      <c r="H202" s="64"/>
      <c r="I202" s="64"/>
      <c r="J202" s="64"/>
      <c r="K202" s="64"/>
      <c r="L202" s="64"/>
      <c r="M202" s="64"/>
      <c r="N202" s="64"/>
      <c r="O202" s="64"/>
      <c r="P202" s="64"/>
      <c r="Q202" s="64"/>
      <c r="R202" s="78">
        <f>R200-R201</f>
        <v>5.5832246297338947E-3</v>
      </c>
      <c r="S202" s="25"/>
      <c r="T202" s="25"/>
      <c r="U202" s="25"/>
      <c r="V202" s="5"/>
    </row>
    <row r="203" spans="1:22" x14ac:dyDescent="0.35">
      <c r="A203" s="75"/>
      <c r="B203" s="76" t="s">
        <v>269</v>
      </c>
      <c r="C203" s="77"/>
      <c r="D203" s="77"/>
      <c r="E203" s="77"/>
      <c r="F203" s="77"/>
      <c r="G203" s="64"/>
      <c r="H203" s="64"/>
      <c r="I203" s="64"/>
      <c r="J203" s="64"/>
      <c r="K203" s="64"/>
      <c r="L203" s="64"/>
      <c r="M203" s="64"/>
      <c r="N203" s="64"/>
      <c r="O203" s="64"/>
      <c r="P203" s="64"/>
      <c r="Q203" s="64"/>
      <c r="R203" s="78">
        <f>+T99/L69</f>
        <v>1.5835078633130991E-2</v>
      </c>
      <c r="S203" s="25"/>
      <c r="T203" s="25"/>
      <c r="U203" s="25"/>
      <c r="V203" s="5"/>
    </row>
    <row r="204" spans="1:22" x14ac:dyDescent="0.35">
      <c r="A204" s="75"/>
      <c r="B204" s="76" t="s">
        <v>251</v>
      </c>
      <c r="C204" s="77"/>
      <c r="D204" s="77"/>
      <c r="E204" s="77"/>
      <c r="F204" s="77"/>
      <c r="G204" s="64"/>
      <c r="H204" s="64"/>
      <c r="I204" s="64"/>
      <c r="J204" s="64"/>
      <c r="K204" s="64"/>
      <c r="L204" s="64"/>
      <c r="M204" s="64"/>
      <c r="N204" s="64"/>
      <c r="O204" s="64"/>
      <c r="P204" s="64"/>
      <c r="Q204" s="64"/>
      <c r="R204" s="130">
        <v>51653</v>
      </c>
      <c r="S204" s="25"/>
      <c r="T204" s="25"/>
      <c r="U204" s="25"/>
      <c r="V204" s="5"/>
    </row>
    <row r="205" spans="1:22" x14ac:dyDescent="0.35">
      <c r="A205" s="75"/>
      <c r="B205" s="76" t="s">
        <v>252</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253</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77</v>
      </c>
      <c r="C207" s="77"/>
      <c r="D207" s="77"/>
      <c r="E207" s="77"/>
      <c r="F207" s="77"/>
      <c r="G207" s="64"/>
      <c r="H207" s="64"/>
      <c r="I207" s="64"/>
      <c r="J207" s="64"/>
      <c r="K207" s="64"/>
      <c r="L207" s="64"/>
      <c r="M207" s="64"/>
      <c r="N207" s="64"/>
      <c r="O207" s="64"/>
      <c r="P207" s="64"/>
      <c r="Q207" s="64"/>
      <c r="R207" s="134">
        <v>21.48</v>
      </c>
      <c r="S207" s="25" t="s">
        <v>117</v>
      </c>
      <c r="T207" s="25"/>
      <c r="U207" s="25"/>
      <c r="V207" s="5"/>
    </row>
    <row r="208" spans="1:22" x14ac:dyDescent="0.35">
      <c r="A208" s="75"/>
      <c r="B208" s="76" t="s">
        <v>78</v>
      </c>
      <c r="C208" s="77"/>
      <c r="D208" s="77"/>
      <c r="E208" s="77"/>
      <c r="F208" s="77"/>
      <c r="G208" s="64"/>
      <c r="H208" s="64"/>
      <c r="I208" s="64"/>
      <c r="J208" s="64"/>
      <c r="K208" s="64"/>
      <c r="L208" s="64"/>
      <c r="M208" s="64"/>
      <c r="N208" s="64"/>
      <c r="O208" s="64"/>
      <c r="P208" s="64"/>
      <c r="Q208" s="64"/>
      <c r="R208" s="134">
        <v>20.76</v>
      </c>
      <c r="S208" s="25" t="s">
        <v>117</v>
      </c>
      <c r="T208" s="25"/>
      <c r="U208" s="25"/>
      <c r="V208" s="5"/>
    </row>
    <row r="209" spans="1:22" x14ac:dyDescent="0.35">
      <c r="A209" s="75"/>
      <c r="B209" s="76" t="s">
        <v>79</v>
      </c>
      <c r="C209" s="77"/>
      <c r="D209" s="77"/>
      <c r="E209" s="77"/>
      <c r="F209" s="77"/>
      <c r="G209" s="64"/>
      <c r="H209" s="64"/>
      <c r="I209" s="64"/>
      <c r="J209" s="64"/>
      <c r="K209" s="64"/>
      <c r="L209" s="64"/>
      <c r="M209" s="64"/>
      <c r="N209" s="64"/>
      <c r="O209" s="64"/>
      <c r="P209" s="64"/>
      <c r="Q209" s="64"/>
      <c r="R209" s="78">
        <f>+N69/L69</f>
        <v>2.3361268361457643E-2</v>
      </c>
      <c r="S209" s="25"/>
      <c r="T209" s="25"/>
      <c r="U209" s="25"/>
      <c r="V209" s="5"/>
    </row>
    <row r="210" spans="1:22" x14ac:dyDescent="0.35">
      <c r="A210" s="75"/>
      <c r="B210" s="76" t="s">
        <v>80</v>
      </c>
      <c r="C210" s="77"/>
      <c r="D210" s="77"/>
      <c r="E210" s="77"/>
      <c r="F210" s="77"/>
      <c r="G210" s="64"/>
      <c r="H210" s="64"/>
      <c r="I210" s="64"/>
      <c r="J210" s="64"/>
      <c r="K210" s="64"/>
      <c r="L210" s="64"/>
      <c r="M210" s="64"/>
      <c r="N210" s="64"/>
      <c r="O210" s="64"/>
      <c r="P210" s="64"/>
      <c r="Q210" s="64"/>
      <c r="R210" s="78">
        <v>6.9800000000000001E-2</v>
      </c>
      <c r="S210" s="25"/>
      <c r="T210" s="25"/>
      <c r="U210" s="25"/>
      <c r="V210" s="5"/>
    </row>
    <row r="211" spans="1:22" x14ac:dyDescent="0.35">
      <c r="A211" s="75"/>
      <c r="B211" s="76"/>
      <c r="C211" s="76"/>
      <c r="D211" s="76"/>
      <c r="E211" s="76"/>
      <c r="F211" s="76"/>
      <c r="G211" s="25"/>
      <c r="H211" s="25"/>
      <c r="I211" s="25"/>
      <c r="J211" s="25"/>
      <c r="K211" s="25"/>
      <c r="L211" s="25"/>
      <c r="M211" s="25"/>
      <c r="N211" s="25"/>
      <c r="O211" s="25"/>
      <c r="P211" s="25"/>
      <c r="Q211" s="25"/>
      <c r="R211" s="61"/>
      <c r="S211" s="25"/>
      <c r="T211" s="79"/>
      <c r="U211" s="25"/>
      <c r="V211" s="5"/>
    </row>
    <row r="212" spans="1:22" x14ac:dyDescent="0.35">
      <c r="A212" s="80"/>
      <c r="B212" s="14" t="s">
        <v>81</v>
      </c>
      <c r="C212" s="81"/>
      <c r="D212" s="81"/>
      <c r="E212" s="81"/>
      <c r="F212" s="82"/>
      <c r="G212" s="81"/>
      <c r="H212" s="17"/>
      <c r="I212" s="17"/>
      <c r="J212" s="17"/>
      <c r="K212" s="17"/>
      <c r="L212" s="17"/>
      <c r="M212" s="17"/>
      <c r="N212" s="17"/>
      <c r="O212" s="17"/>
      <c r="P212" s="17"/>
      <c r="Q212" s="17" t="s">
        <v>106</v>
      </c>
      <c r="R212" s="83" t="s">
        <v>113</v>
      </c>
      <c r="S212" s="8"/>
      <c r="T212" s="8"/>
      <c r="U212" s="8"/>
      <c r="V212" s="5"/>
    </row>
    <row r="213" spans="1:22" x14ac:dyDescent="0.35">
      <c r="A213" s="84"/>
      <c r="B213" s="76" t="s">
        <v>82</v>
      </c>
      <c r="C213" s="54"/>
      <c r="D213" s="54"/>
      <c r="E213" s="54"/>
      <c r="F213" s="25"/>
      <c r="G213" s="25"/>
      <c r="H213" s="30"/>
      <c r="I213" s="30"/>
      <c r="J213" s="30"/>
      <c r="K213" s="30"/>
      <c r="L213" s="30"/>
      <c r="M213" s="30"/>
      <c r="N213" s="30"/>
      <c r="O213" s="30"/>
      <c r="P213" s="30"/>
      <c r="Q213" s="30">
        <v>0</v>
      </c>
      <c r="R213" s="85">
        <v>0</v>
      </c>
      <c r="S213" s="25"/>
      <c r="T213" s="79"/>
      <c r="U213" s="86"/>
      <c r="V213" s="5"/>
    </row>
    <row r="214" spans="1:22" x14ac:dyDescent="0.35">
      <c r="A214" s="84"/>
      <c r="B214" s="76" t="s">
        <v>152</v>
      </c>
      <c r="C214" s="54"/>
      <c r="D214" s="54"/>
      <c r="E214" s="54"/>
      <c r="F214" s="25"/>
      <c r="G214" s="25"/>
      <c r="H214" s="30"/>
      <c r="I214" s="30"/>
      <c r="J214" s="30"/>
      <c r="K214" s="30"/>
      <c r="L214" s="30"/>
      <c r="M214" s="30"/>
      <c r="N214" s="30"/>
      <c r="O214" s="30"/>
      <c r="P214" s="30"/>
      <c r="Q214" s="153">
        <f>+P255</f>
        <v>25</v>
      </c>
      <c r="R214" s="85">
        <f>+R255</f>
        <v>3895</v>
      </c>
      <c r="S214" s="25"/>
      <c r="T214" s="79"/>
      <c r="U214" s="86"/>
      <c r="V214" s="5"/>
    </row>
    <row r="215" spans="1:22" x14ac:dyDescent="0.35">
      <c r="A215" s="84"/>
      <c r="B215" s="76" t="s">
        <v>83</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122" t="s">
        <v>84</v>
      </c>
      <c r="C216" s="54"/>
      <c r="D216" s="54"/>
      <c r="E216" s="54"/>
      <c r="F216" s="25"/>
      <c r="G216" s="25"/>
      <c r="H216" s="25"/>
      <c r="I216" s="25"/>
      <c r="J216" s="25"/>
      <c r="K216" s="25"/>
      <c r="L216" s="25"/>
      <c r="M216" s="25"/>
      <c r="N216" s="25"/>
      <c r="O216" s="25"/>
      <c r="P216" s="25"/>
      <c r="Q216" s="25"/>
      <c r="R216" s="85">
        <v>0</v>
      </c>
      <c r="S216" s="25"/>
      <c r="T216" s="79"/>
      <c r="U216" s="86"/>
      <c r="V216" s="5"/>
    </row>
    <row r="217" spans="1:22" x14ac:dyDescent="0.35">
      <c r="A217" s="84"/>
      <c r="B217" s="122" t="s">
        <v>85</v>
      </c>
      <c r="C217" s="54"/>
      <c r="D217" s="54"/>
      <c r="E217" s="54"/>
      <c r="F217" s="25"/>
      <c r="G217" s="25"/>
      <c r="H217" s="25"/>
      <c r="I217" s="25"/>
      <c r="J217" s="25"/>
      <c r="K217" s="25"/>
      <c r="L217" s="25"/>
      <c r="M217" s="25"/>
      <c r="N217" s="25"/>
      <c r="O217" s="25"/>
      <c r="P217" s="25"/>
      <c r="Q217" s="25"/>
      <c r="R217" s="62" t="s">
        <v>114</v>
      </c>
      <c r="S217" s="25"/>
      <c r="T217" s="79"/>
      <c r="U217" s="86"/>
      <c r="V217" s="5"/>
    </row>
    <row r="218" spans="1:22" x14ac:dyDescent="0.35">
      <c r="A218" s="87"/>
      <c r="B218" s="122" t="s">
        <v>86</v>
      </c>
      <c r="C218" s="76"/>
      <c r="D218" s="76"/>
      <c r="E218" s="76"/>
      <c r="F218" s="76"/>
      <c r="G218" s="25"/>
      <c r="H218" s="25"/>
      <c r="I218" s="25"/>
      <c r="J218" s="25"/>
      <c r="K218" s="25"/>
      <c r="L218" s="25"/>
      <c r="M218" s="25"/>
      <c r="N218" s="25"/>
      <c r="O218" s="25"/>
      <c r="P218" s="25"/>
      <c r="Q218" s="25"/>
      <c r="R218" s="85"/>
      <c r="S218" s="25"/>
      <c r="T218" s="79"/>
      <c r="U218" s="88"/>
      <c r="V218" s="5"/>
    </row>
    <row r="219" spans="1:22" x14ac:dyDescent="0.35">
      <c r="A219" s="87"/>
      <c r="B219" s="132" t="s">
        <v>87</v>
      </c>
      <c r="C219" s="76"/>
      <c r="D219" s="76"/>
      <c r="E219" s="76"/>
      <c r="F219" s="76"/>
      <c r="G219" s="25"/>
      <c r="H219" s="25"/>
      <c r="I219" s="25"/>
      <c r="J219" s="25"/>
      <c r="K219" s="25"/>
      <c r="L219" s="25"/>
      <c r="M219" s="25"/>
      <c r="N219" s="25"/>
      <c r="O219" s="25"/>
      <c r="P219" s="25"/>
      <c r="Q219" s="30">
        <v>0</v>
      </c>
      <c r="R219" s="85">
        <f>T164</f>
        <v>0</v>
      </c>
      <c r="S219" s="25"/>
      <c r="T219" s="79"/>
      <c r="U219" s="88"/>
      <c r="V219" s="5"/>
    </row>
    <row r="220" spans="1:22" x14ac:dyDescent="0.35">
      <c r="A220" s="84"/>
      <c r="B220" s="76" t="s">
        <v>88</v>
      </c>
      <c r="C220" s="54"/>
      <c r="D220" s="54"/>
      <c r="E220" s="54"/>
      <c r="F220" s="54"/>
      <c r="G220" s="25"/>
      <c r="H220" s="25"/>
      <c r="I220" s="25"/>
      <c r="J220" s="25"/>
      <c r="K220" s="25"/>
      <c r="L220" s="25"/>
      <c r="M220" s="25"/>
      <c r="N220" s="25"/>
      <c r="O220" s="25"/>
      <c r="P220" s="25"/>
      <c r="Q220" s="85">
        <f>'May 06'!Q220+Q219</f>
        <v>0</v>
      </c>
      <c r="R220" s="85">
        <f>'May 06'!R220+R219</f>
        <v>0</v>
      </c>
      <c r="S220" s="25"/>
      <c r="T220" s="79"/>
      <c r="U220" s="88"/>
      <c r="V220" s="5"/>
    </row>
    <row r="221" spans="1:22" x14ac:dyDescent="0.35">
      <c r="A221" s="84"/>
      <c r="B221" s="76" t="s">
        <v>89</v>
      </c>
      <c r="C221" s="54"/>
      <c r="D221" s="54"/>
      <c r="E221" s="54"/>
      <c r="F221" s="54"/>
      <c r="G221" s="25"/>
      <c r="H221" s="25"/>
      <c r="I221" s="25"/>
      <c r="J221" s="25"/>
      <c r="K221" s="25"/>
      <c r="L221" s="25"/>
      <c r="M221" s="25"/>
      <c r="N221" s="25"/>
      <c r="O221" s="25"/>
      <c r="P221" s="25"/>
      <c r="Q221" s="30"/>
      <c r="R221" s="85">
        <v>0</v>
      </c>
      <c r="S221" s="25"/>
      <c r="T221" s="79"/>
      <c r="U221" s="88"/>
      <c r="V221" s="5"/>
    </row>
    <row r="222" spans="1:22" x14ac:dyDescent="0.35">
      <c r="A222" s="87"/>
      <c r="B222" s="122" t="s">
        <v>295</v>
      </c>
      <c r="C222" s="76"/>
      <c r="D222" s="76"/>
      <c r="E222" s="76"/>
      <c r="F222" s="76"/>
      <c r="G222" s="25"/>
      <c r="H222" s="25"/>
      <c r="I222" s="25"/>
      <c r="J222" s="25"/>
      <c r="K222" s="25"/>
      <c r="L222" s="25"/>
      <c r="M222" s="25"/>
      <c r="N222" s="25"/>
      <c r="O222" s="25"/>
      <c r="P222" s="25"/>
      <c r="Q222" s="30"/>
      <c r="R222" s="85"/>
      <c r="S222" s="25"/>
      <c r="T222" s="79"/>
      <c r="U222" s="88"/>
      <c r="V222" s="5"/>
    </row>
    <row r="223" spans="1:22" x14ac:dyDescent="0.35">
      <c r="A223" s="87"/>
      <c r="B223" s="76" t="s">
        <v>292</v>
      </c>
      <c r="C223" s="76"/>
      <c r="D223" s="76"/>
      <c r="E223" s="76"/>
      <c r="F223" s="76"/>
      <c r="G223" s="25"/>
      <c r="H223" s="25"/>
      <c r="I223" s="25"/>
      <c r="J223" s="25"/>
      <c r="K223" s="25"/>
      <c r="L223" s="25"/>
      <c r="M223" s="25"/>
      <c r="N223" s="25"/>
      <c r="O223" s="25"/>
      <c r="P223" s="25"/>
      <c r="Q223" s="30">
        <v>0</v>
      </c>
      <c r="R223" s="85">
        <v>0</v>
      </c>
      <c r="S223" s="25"/>
      <c r="T223" s="79"/>
      <c r="U223" s="88"/>
      <c r="V223" s="5"/>
    </row>
    <row r="224" spans="1:22" x14ac:dyDescent="0.35">
      <c r="A224" s="84"/>
      <c r="B224" s="76" t="s">
        <v>90</v>
      </c>
      <c r="C224" s="89"/>
      <c r="D224" s="89"/>
      <c r="E224" s="89"/>
      <c r="F224" s="90"/>
      <c r="G224" s="25"/>
      <c r="H224" s="25"/>
      <c r="I224" s="25"/>
      <c r="J224" s="25"/>
      <c r="K224" s="25"/>
      <c r="L224" s="25"/>
      <c r="M224" s="25"/>
      <c r="N224" s="25"/>
      <c r="O224" s="25"/>
      <c r="P224" s="25"/>
      <c r="Q224" s="25"/>
      <c r="R224" s="62">
        <v>0</v>
      </c>
      <c r="S224" s="25"/>
      <c r="T224" s="79"/>
      <c r="U224" s="88"/>
      <c r="V224" s="5"/>
    </row>
    <row r="225" spans="1:23" x14ac:dyDescent="0.35">
      <c r="A225" s="84"/>
      <c r="B225" s="76" t="s">
        <v>91</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122" t="s">
        <v>260</v>
      </c>
      <c r="C226" s="89"/>
      <c r="D226" s="89"/>
      <c r="E226" s="89"/>
      <c r="F226" s="90"/>
      <c r="G226" s="25"/>
      <c r="H226" s="25"/>
      <c r="I226" s="25"/>
      <c r="J226" s="25"/>
      <c r="K226" s="25"/>
      <c r="L226" s="25"/>
      <c r="M226" s="25"/>
      <c r="N226" s="25"/>
      <c r="O226" s="25"/>
      <c r="P226" s="25"/>
      <c r="Q226" s="25"/>
      <c r="R226" s="91"/>
      <c r="S226" s="25"/>
      <c r="T226" s="79"/>
      <c r="U226" s="88"/>
      <c r="V226" s="5"/>
    </row>
    <row r="227" spans="1:23" x14ac:dyDescent="0.35">
      <c r="A227" s="84"/>
      <c r="B227" s="76" t="s">
        <v>292</v>
      </c>
      <c r="C227" s="89"/>
      <c r="D227" s="89"/>
      <c r="E227" s="89"/>
      <c r="F227" s="90"/>
      <c r="G227" s="25"/>
      <c r="H227" s="25"/>
      <c r="I227" s="25"/>
      <c r="J227" s="25"/>
      <c r="K227" s="25"/>
      <c r="L227" s="25"/>
      <c r="M227" s="25"/>
      <c r="N227" s="25"/>
      <c r="O227" s="25"/>
      <c r="P227" s="25"/>
      <c r="Q227" s="30">
        <v>1</v>
      </c>
      <c r="R227" s="85">
        <v>149</v>
      </c>
      <c r="S227" s="25"/>
      <c r="T227" s="79"/>
      <c r="U227" s="88"/>
      <c r="V227" s="5"/>
    </row>
    <row r="228" spans="1:23" x14ac:dyDescent="0.35">
      <c r="A228" s="84"/>
      <c r="B228" s="76" t="s">
        <v>261</v>
      </c>
      <c r="C228" s="89"/>
      <c r="D228" s="89"/>
      <c r="E228" s="89"/>
      <c r="F228" s="90"/>
      <c r="G228" s="25"/>
      <c r="H228" s="25"/>
      <c r="I228" s="25"/>
      <c r="J228" s="25"/>
      <c r="K228" s="25"/>
      <c r="L228" s="25"/>
      <c r="M228" s="25"/>
      <c r="N228" s="25"/>
      <c r="O228" s="25"/>
      <c r="P228" s="25"/>
      <c r="Q228" s="25"/>
      <c r="R228" s="62">
        <v>4.4000000000000004</v>
      </c>
      <c r="S228" s="25"/>
      <c r="T228" s="79"/>
      <c r="U228" s="88"/>
      <c r="V228" s="5"/>
    </row>
    <row r="229" spans="1:23" x14ac:dyDescent="0.35">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7.5" x14ac:dyDescent="0.35">
      <c r="A231" s="84"/>
      <c r="B231" s="150" t="s">
        <v>178</v>
      </c>
      <c r="C231" s="89"/>
      <c r="D231" s="89"/>
      <c r="E231" s="89"/>
      <c r="F231" s="90"/>
      <c r="G231" s="25"/>
      <c r="H231" s="25"/>
      <c r="I231" s="25"/>
      <c r="J231" s="25"/>
      <c r="K231" s="25"/>
      <c r="L231" s="25"/>
      <c r="M231" s="25"/>
      <c r="N231" s="151" t="s">
        <v>177</v>
      </c>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x14ac:dyDescent="0.35">
      <c r="A233" s="6"/>
      <c r="B233" s="14" t="s">
        <v>171</v>
      </c>
      <c r="C233" s="81"/>
      <c r="D233" s="81"/>
      <c r="E233" s="81"/>
      <c r="F233" s="82"/>
      <c r="G233" s="81"/>
      <c r="H233" s="17"/>
      <c r="I233" s="17"/>
      <c r="J233" s="17"/>
      <c r="K233" s="17"/>
      <c r="L233" s="17"/>
      <c r="M233" s="17"/>
      <c r="N233" s="17"/>
      <c r="O233" s="17"/>
      <c r="P233" s="83" t="s">
        <v>106</v>
      </c>
      <c r="Q233" s="17" t="s">
        <v>107</v>
      </c>
      <c r="R233" s="83" t="s">
        <v>115</v>
      </c>
      <c r="S233" s="17" t="s">
        <v>107</v>
      </c>
      <c r="T233" s="8"/>
      <c r="U233" s="92"/>
      <c r="V233" s="5"/>
    </row>
    <row r="234" spans="1:23" x14ac:dyDescent="0.35">
      <c r="A234" s="24"/>
      <c r="B234" s="54" t="s">
        <v>92</v>
      </c>
      <c r="C234" s="93"/>
      <c r="D234" s="93"/>
      <c r="E234" s="93"/>
      <c r="F234" s="25"/>
      <c r="G234" s="93"/>
      <c r="H234" s="93"/>
      <c r="I234" s="93"/>
      <c r="J234" s="93"/>
      <c r="K234" s="93"/>
      <c r="L234" s="93"/>
      <c r="M234" s="93"/>
      <c r="N234" s="93"/>
      <c r="O234" s="93"/>
      <c r="P234" s="54">
        <v>7238</v>
      </c>
      <c r="Q234" s="94">
        <f t="shared" ref="Q234:Q241" si="1">P234/$P$243</f>
        <v>0.99286694101508921</v>
      </c>
      <c r="R234" s="53">
        <v>948418</v>
      </c>
      <c r="S234" s="133">
        <f t="shared" ref="S234:S241" si="2">R234/$R$243</f>
        <v>0.99158880165777452</v>
      </c>
      <c r="T234" s="79"/>
      <c r="U234" s="88"/>
      <c r="V234" s="5"/>
    </row>
    <row r="235" spans="1:23" x14ac:dyDescent="0.35">
      <c r="A235" s="24"/>
      <c r="B235" s="54" t="s">
        <v>93</v>
      </c>
      <c r="C235" s="93"/>
      <c r="D235" s="93"/>
      <c r="E235" s="93"/>
      <c r="F235" s="25"/>
      <c r="G235" s="94"/>
      <c r="H235" s="93"/>
      <c r="I235" s="93"/>
      <c r="J235" s="93"/>
      <c r="K235" s="93"/>
      <c r="L235" s="93"/>
      <c r="M235" s="93"/>
      <c r="N235" s="93"/>
      <c r="O235" s="93"/>
      <c r="P235" s="54">
        <v>36</v>
      </c>
      <c r="Q235" s="94">
        <f t="shared" si="1"/>
        <v>4.9382716049382715E-3</v>
      </c>
      <c r="R235" s="53">
        <v>5262</v>
      </c>
      <c r="S235" s="133">
        <f t="shared" si="2"/>
        <v>5.5015196615028497E-3</v>
      </c>
      <c r="T235" s="79"/>
      <c r="U235" s="88"/>
      <c r="V235" s="5"/>
      <c r="W235" s="109"/>
    </row>
    <row r="236" spans="1:23" x14ac:dyDescent="0.35">
      <c r="A236" s="24"/>
      <c r="B236" s="54" t="s">
        <v>94</v>
      </c>
      <c r="C236" s="93"/>
      <c r="D236" s="93"/>
      <c r="E236" s="93"/>
      <c r="F236" s="25"/>
      <c r="G236" s="94"/>
      <c r="H236" s="93"/>
      <c r="I236" s="93"/>
      <c r="J236" s="93"/>
      <c r="K236" s="93"/>
      <c r="L236" s="93"/>
      <c r="M236" s="93"/>
      <c r="N236" s="93"/>
      <c r="O236" s="93"/>
      <c r="P236" s="54">
        <v>14</v>
      </c>
      <c r="Q236" s="94">
        <f t="shared" si="1"/>
        <v>1.9204389574759945E-3</v>
      </c>
      <c r="R236" s="53">
        <v>2613</v>
      </c>
      <c r="S236" s="133">
        <f t="shared" si="2"/>
        <v>2.7319404932548358E-3</v>
      </c>
      <c r="T236" s="79"/>
      <c r="U236" s="88"/>
      <c r="V236" s="5"/>
    </row>
    <row r="237" spans="1:23" x14ac:dyDescent="0.35">
      <c r="A237" s="24"/>
      <c r="B237" s="54" t="s">
        <v>164</v>
      </c>
      <c r="C237" s="93"/>
      <c r="D237" s="93"/>
      <c r="E237" s="93"/>
      <c r="F237" s="25"/>
      <c r="G237" s="94"/>
      <c r="H237" s="93"/>
      <c r="I237" s="93"/>
      <c r="J237" s="93"/>
      <c r="K237" s="93"/>
      <c r="L237" s="93"/>
      <c r="M237" s="93"/>
      <c r="N237" s="93"/>
      <c r="O237" s="93"/>
      <c r="P237" s="54">
        <v>1</v>
      </c>
      <c r="Q237" s="94">
        <f t="shared" si="1"/>
        <v>1.3717421124828533E-4</v>
      </c>
      <c r="R237" s="53">
        <v>120</v>
      </c>
      <c r="S237" s="133">
        <f t="shared" si="2"/>
        <v>1.2546224997725996E-4</v>
      </c>
      <c r="T237" s="79"/>
      <c r="U237" s="88"/>
      <c r="V237" s="5"/>
      <c r="W237" s="109"/>
    </row>
    <row r="238" spans="1:23" x14ac:dyDescent="0.35">
      <c r="A238" s="24"/>
      <c r="B238" s="54" t="s">
        <v>165</v>
      </c>
      <c r="C238" s="93"/>
      <c r="D238" s="93"/>
      <c r="E238" s="93"/>
      <c r="F238" s="25"/>
      <c r="G238" s="94"/>
      <c r="H238" s="93"/>
      <c r="I238" s="93"/>
      <c r="J238" s="93"/>
      <c r="K238" s="93"/>
      <c r="L238" s="93"/>
      <c r="M238" s="93"/>
      <c r="N238" s="93"/>
      <c r="O238" s="93"/>
      <c r="P238" s="54">
        <v>1</v>
      </c>
      <c r="Q238" s="94">
        <f t="shared" si="1"/>
        <v>1.3717421124828533E-4</v>
      </c>
      <c r="R238" s="53">
        <v>50</v>
      </c>
      <c r="S238" s="133">
        <f t="shared" si="2"/>
        <v>5.2275937490524986E-5</v>
      </c>
      <c r="T238" s="79"/>
      <c r="U238" s="88"/>
      <c r="V238" s="5"/>
    </row>
    <row r="239" spans="1:23" x14ac:dyDescent="0.35">
      <c r="A239" s="24"/>
      <c r="B239" s="54" t="s">
        <v>166</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c r="W239" s="109"/>
    </row>
    <row r="240" spans="1:23" x14ac:dyDescent="0.35">
      <c r="A240" s="24"/>
      <c r="B240" s="54" t="s">
        <v>167</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row>
    <row r="241" spans="1:23" x14ac:dyDescent="0.35">
      <c r="A241" s="24"/>
      <c r="B241" s="54" t="s">
        <v>168</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c r="W241" s="109"/>
    </row>
    <row r="242" spans="1:23" x14ac:dyDescent="0.35">
      <c r="A242" s="24"/>
      <c r="B242" s="54"/>
      <c r="C242" s="93"/>
      <c r="D242" s="93"/>
      <c r="E242" s="93"/>
      <c r="F242" s="25"/>
      <c r="G242" s="94"/>
      <c r="H242" s="93"/>
      <c r="I242" s="93"/>
      <c r="J242" s="93"/>
      <c r="K242" s="93"/>
      <c r="L242" s="93"/>
      <c r="M242" s="93"/>
      <c r="N242" s="93"/>
      <c r="O242" s="93"/>
      <c r="P242" s="54"/>
      <c r="Q242" s="94"/>
      <c r="R242" s="53"/>
      <c r="S242" s="133"/>
      <c r="T242" s="79"/>
      <c r="U242" s="88"/>
      <c r="V242" s="5"/>
    </row>
    <row r="243" spans="1:23" x14ac:dyDescent="0.35">
      <c r="A243" s="24"/>
      <c r="B243" s="25"/>
      <c r="C243" s="25"/>
      <c r="D243" s="25"/>
      <c r="E243" s="25"/>
      <c r="F243" s="25"/>
      <c r="G243" s="25"/>
      <c r="H243" s="95"/>
      <c r="I243" s="95"/>
      <c r="J243" s="95"/>
      <c r="K243" s="95"/>
      <c r="L243" s="95"/>
      <c r="M243" s="95"/>
      <c r="N243" s="95"/>
      <c r="O243" s="95"/>
      <c r="P243" s="34">
        <f>SUM(P234:P242)</f>
        <v>7290</v>
      </c>
      <c r="Q243" s="133">
        <f>SUM(Q234:Q242)</f>
        <v>1</v>
      </c>
      <c r="R243" s="53">
        <f>SUM(R234:R242)</f>
        <v>956463</v>
      </c>
      <c r="S243" s="133">
        <f>SUM(S234:S242)</f>
        <v>1</v>
      </c>
      <c r="T243" s="25"/>
      <c r="U243" s="25"/>
      <c r="V243" s="5"/>
    </row>
    <row r="244" spans="1:23" x14ac:dyDescent="0.35">
      <c r="A244" s="24"/>
      <c r="B244" s="25"/>
      <c r="C244" s="25"/>
      <c r="D244" s="25"/>
      <c r="E244" s="25"/>
      <c r="F244" s="25"/>
      <c r="G244" s="25"/>
      <c r="H244" s="95"/>
      <c r="I244" s="95"/>
      <c r="J244" s="95"/>
      <c r="K244" s="95"/>
      <c r="L244" s="95"/>
      <c r="M244" s="95"/>
      <c r="N244" s="95"/>
      <c r="O244" s="95"/>
      <c r="P244" s="34"/>
      <c r="Q244" s="133"/>
      <c r="R244" s="53"/>
      <c r="S244" s="133"/>
      <c r="T244" s="25"/>
      <c r="U244" s="25"/>
      <c r="V244" s="5"/>
    </row>
    <row r="245" spans="1:23" x14ac:dyDescent="0.35">
      <c r="A245" s="142"/>
      <c r="B245" s="14" t="s">
        <v>172</v>
      </c>
      <c r="C245" s="81"/>
      <c r="D245" s="81"/>
      <c r="E245" s="81"/>
      <c r="F245" s="82"/>
      <c r="G245" s="81"/>
      <c r="H245" s="17"/>
      <c r="I245" s="17"/>
      <c r="J245" s="17"/>
      <c r="K245" s="17"/>
      <c r="L245" s="17"/>
      <c r="M245" s="17"/>
      <c r="N245" s="17"/>
      <c r="O245" s="17"/>
      <c r="P245" s="83" t="s">
        <v>106</v>
      </c>
      <c r="Q245" s="17" t="s">
        <v>107</v>
      </c>
      <c r="R245" s="83" t="s">
        <v>115</v>
      </c>
      <c r="S245" s="17" t="s">
        <v>107</v>
      </c>
      <c r="T245" s="140"/>
      <c r="U245" s="141"/>
      <c r="V245" s="5"/>
    </row>
    <row r="246" spans="1:23" x14ac:dyDescent="0.35">
      <c r="A246" s="24"/>
      <c r="B246" s="54" t="s">
        <v>92</v>
      </c>
      <c r="C246" s="93"/>
      <c r="D246" s="93"/>
      <c r="E246" s="93"/>
      <c r="F246" s="25"/>
      <c r="G246" s="93"/>
      <c r="H246" s="93"/>
      <c r="I246" s="93"/>
      <c r="J246" s="93"/>
      <c r="K246" s="93"/>
      <c r="L246" s="93"/>
      <c r="M246" s="93"/>
      <c r="N246" s="93"/>
      <c r="O246" s="93"/>
      <c r="P246" s="54">
        <v>3</v>
      </c>
      <c r="Q246" s="94">
        <f t="shared" ref="Q246:Q253" si="3">P246/$P$255</f>
        <v>0.12</v>
      </c>
      <c r="R246" s="53">
        <v>364</v>
      </c>
      <c r="S246" s="133">
        <f t="shared" ref="S246:S253" si="4">R246/$R$255</f>
        <v>9.3453145057766362E-2</v>
      </c>
      <c r="T246" s="25"/>
      <c r="U246" s="25"/>
      <c r="V246" s="5"/>
    </row>
    <row r="247" spans="1:23" x14ac:dyDescent="0.35">
      <c r="A247" s="24"/>
      <c r="B247" s="54" t="s">
        <v>93</v>
      </c>
      <c r="C247" s="93"/>
      <c r="D247" s="93"/>
      <c r="E247" s="93"/>
      <c r="F247" s="25"/>
      <c r="G247" s="94"/>
      <c r="H247" s="93"/>
      <c r="I247" s="93"/>
      <c r="J247" s="93"/>
      <c r="K247" s="93"/>
      <c r="L247" s="93"/>
      <c r="M247" s="93"/>
      <c r="N247" s="93"/>
      <c r="O247" s="93"/>
      <c r="P247" s="54">
        <v>2</v>
      </c>
      <c r="Q247" s="94">
        <f t="shared" si="3"/>
        <v>0.08</v>
      </c>
      <c r="R247" s="53">
        <v>175</v>
      </c>
      <c r="S247" s="133">
        <f t="shared" si="4"/>
        <v>4.4929396662387676E-2</v>
      </c>
      <c r="T247" s="25"/>
      <c r="U247" s="25"/>
      <c r="V247" s="5"/>
    </row>
    <row r="248" spans="1:23" x14ac:dyDescent="0.35">
      <c r="A248" s="24"/>
      <c r="B248" s="54" t="s">
        <v>94</v>
      </c>
      <c r="C248" s="93"/>
      <c r="D248" s="93"/>
      <c r="E248" s="93"/>
      <c r="F248" s="25"/>
      <c r="G248" s="94"/>
      <c r="H248" s="93"/>
      <c r="I248" s="93"/>
      <c r="J248" s="93"/>
      <c r="K248" s="93"/>
      <c r="L248" s="93"/>
      <c r="M248" s="93"/>
      <c r="N248" s="93"/>
      <c r="O248" s="93"/>
      <c r="P248" s="54">
        <v>1</v>
      </c>
      <c r="Q248" s="94">
        <f t="shared" si="3"/>
        <v>0.04</v>
      </c>
      <c r="R248" s="53">
        <v>91</v>
      </c>
      <c r="S248" s="133">
        <f t="shared" si="4"/>
        <v>2.3363286264441591E-2</v>
      </c>
      <c r="T248" s="25"/>
      <c r="U248" s="25"/>
      <c r="V248" s="5"/>
    </row>
    <row r="249" spans="1:23" x14ac:dyDescent="0.35">
      <c r="A249" s="24"/>
      <c r="B249" s="54" t="s">
        <v>164</v>
      </c>
      <c r="C249" s="93"/>
      <c r="D249" s="93"/>
      <c r="E249" s="93"/>
      <c r="F249" s="25"/>
      <c r="G249" s="94"/>
      <c r="H249" s="93"/>
      <c r="I249" s="93"/>
      <c r="J249" s="93"/>
      <c r="K249" s="93"/>
      <c r="L249" s="93"/>
      <c r="M249" s="93"/>
      <c r="N249" s="93"/>
      <c r="O249" s="93"/>
      <c r="P249" s="54">
        <v>3</v>
      </c>
      <c r="Q249" s="94">
        <f t="shared" si="3"/>
        <v>0.12</v>
      </c>
      <c r="R249" s="53">
        <v>445</v>
      </c>
      <c r="S249" s="133">
        <f t="shared" si="4"/>
        <v>0.11424903722721438</v>
      </c>
      <c r="T249" s="25"/>
      <c r="U249" s="25"/>
      <c r="V249" s="5"/>
    </row>
    <row r="250" spans="1:23" x14ac:dyDescent="0.35">
      <c r="A250" s="24"/>
      <c r="B250" s="54" t="s">
        <v>165</v>
      </c>
      <c r="C250" s="93"/>
      <c r="D250" s="93"/>
      <c r="E250" s="93"/>
      <c r="F250" s="25"/>
      <c r="G250" s="94"/>
      <c r="H250" s="93"/>
      <c r="I250" s="93"/>
      <c r="J250" s="93"/>
      <c r="K250" s="93"/>
      <c r="L250" s="93"/>
      <c r="M250" s="93"/>
      <c r="N250" s="93"/>
      <c r="O250" s="93"/>
      <c r="P250" s="54">
        <v>1</v>
      </c>
      <c r="Q250" s="94">
        <f t="shared" si="3"/>
        <v>0.04</v>
      </c>
      <c r="R250" s="53">
        <v>316</v>
      </c>
      <c r="S250" s="133">
        <f t="shared" si="4"/>
        <v>8.1129653401797175E-2</v>
      </c>
      <c r="T250" s="25"/>
      <c r="U250" s="25"/>
      <c r="V250" s="5"/>
    </row>
    <row r="251" spans="1:23" x14ac:dyDescent="0.35">
      <c r="A251" s="24"/>
      <c r="B251" s="54" t="s">
        <v>166</v>
      </c>
      <c r="C251" s="93"/>
      <c r="D251" s="93"/>
      <c r="E251" s="93"/>
      <c r="F251" s="25"/>
      <c r="G251" s="94"/>
      <c r="H251" s="93"/>
      <c r="I251" s="93"/>
      <c r="J251" s="93"/>
      <c r="K251" s="93"/>
      <c r="L251" s="93"/>
      <c r="M251" s="93"/>
      <c r="N251" s="93"/>
      <c r="O251" s="93"/>
      <c r="P251" s="54">
        <v>2</v>
      </c>
      <c r="Q251" s="94">
        <f t="shared" si="3"/>
        <v>0.08</v>
      </c>
      <c r="R251" s="53">
        <v>281</v>
      </c>
      <c r="S251" s="133">
        <f t="shared" si="4"/>
        <v>7.2143774069319641E-2</v>
      </c>
      <c r="T251" s="25"/>
      <c r="U251" s="25"/>
      <c r="V251" s="5"/>
    </row>
    <row r="252" spans="1:23" x14ac:dyDescent="0.35">
      <c r="A252" s="24"/>
      <c r="B252" s="54" t="s">
        <v>167</v>
      </c>
      <c r="C252" s="93"/>
      <c r="D252" s="93"/>
      <c r="E252" s="93"/>
      <c r="F252" s="25"/>
      <c r="G252" s="94"/>
      <c r="H252" s="93"/>
      <c r="I252" s="93"/>
      <c r="J252" s="93"/>
      <c r="K252" s="93"/>
      <c r="L252" s="93"/>
      <c r="M252" s="93"/>
      <c r="N252" s="93"/>
      <c r="O252" s="93"/>
      <c r="P252" s="54">
        <v>10</v>
      </c>
      <c r="Q252" s="94">
        <f t="shared" si="3"/>
        <v>0.4</v>
      </c>
      <c r="R252" s="53">
        <v>1845</v>
      </c>
      <c r="S252" s="133">
        <f t="shared" si="4"/>
        <v>0.47368421052631576</v>
      </c>
      <c r="T252" s="25"/>
      <c r="U252" s="25"/>
      <c r="V252" s="5"/>
    </row>
    <row r="253" spans="1:23" x14ac:dyDescent="0.35">
      <c r="A253" s="24"/>
      <c r="B253" s="54" t="s">
        <v>168</v>
      </c>
      <c r="C253" s="93"/>
      <c r="D253" s="93"/>
      <c r="E253" s="93"/>
      <c r="F253" s="25"/>
      <c r="G253" s="94"/>
      <c r="H253" s="93"/>
      <c r="I253" s="93"/>
      <c r="J253" s="93"/>
      <c r="K253" s="93"/>
      <c r="L253" s="93"/>
      <c r="M253" s="93"/>
      <c r="N253" s="93"/>
      <c r="O253" s="93"/>
      <c r="P253" s="54">
        <v>3</v>
      </c>
      <c r="Q253" s="94">
        <f t="shared" si="3"/>
        <v>0.12</v>
      </c>
      <c r="R253" s="53">
        <v>378</v>
      </c>
      <c r="S253" s="133">
        <f t="shared" si="4"/>
        <v>9.7047496790757387E-2</v>
      </c>
      <c r="T253" s="25"/>
      <c r="U253" s="25"/>
      <c r="V253" s="5"/>
    </row>
    <row r="254" spans="1:23" x14ac:dyDescent="0.35">
      <c r="A254" s="24"/>
      <c r="B254" s="54"/>
      <c r="C254" s="93"/>
      <c r="D254" s="93"/>
      <c r="E254" s="93"/>
      <c r="F254" s="25"/>
      <c r="G254" s="94"/>
      <c r="H254" s="93"/>
      <c r="I254" s="93"/>
      <c r="J254" s="93"/>
      <c r="K254" s="93"/>
      <c r="L254" s="93"/>
      <c r="M254" s="93"/>
      <c r="N254" s="93"/>
      <c r="O254" s="93"/>
      <c r="P254" s="54"/>
      <c r="Q254" s="94"/>
      <c r="R254" s="53"/>
      <c r="S254" s="133"/>
      <c r="T254" s="25"/>
      <c r="U254" s="25"/>
      <c r="V254" s="5"/>
    </row>
    <row r="255" spans="1:23" x14ac:dyDescent="0.35">
      <c r="A255" s="24"/>
      <c r="B255" s="25"/>
      <c r="C255" s="25"/>
      <c r="D255" s="25"/>
      <c r="E255" s="25"/>
      <c r="F255" s="25"/>
      <c r="G255" s="25"/>
      <c r="H255" s="95"/>
      <c r="I255" s="95"/>
      <c r="J255" s="95"/>
      <c r="K255" s="95"/>
      <c r="L255" s="95"/>
      <c r="M255" s="95"/>
      <c r="N255" s="95"/>
      <c r="O255" s="95"/>
      <c r="P255" s="34">
        <f>SUM(P246:P254)</f>
        <v>25</v>
      </c>
      <c r="Q255" s="133">
        <f>SUM(Q246:Q254)</f>
        <v>1</v>
      </c>
      <c r="R255" s="53">
        <f>SUM(R246:R254)</f>
        <v>3895</v>
      </c>
      <c r="S255" s="133">
        <f>SUM(S246:S254)</f>
        <v>1</v>
      </c>
      <c r="T255" s="25"/>
      <c r="U255" s="25"/>
      <c r="V255" s="5"/>
    </row>
    <row r="256" spans="1:23" x14ac:dyDescent="0.35">
      <c r="A256" s="24"/>
      <c r="B256" s="25"/>
      <c r="C256" s="25"/>
      <c r="D256" s="25"/>
      <c r="E256" s="25"/>
      <c r="F256" s="25"/>
      <c r="G256" s="25"/>
      <c r="H256" s="95"/>
      <c r="I256" s="95"/>
      <c r="J256" s="95"/>
      <c r="K256" s="95"/>
      <c r="L256" s="95"/>
      <c r="M256" s="95"/>
      <c r="N256" s="95"/>
      <c r="O256" s="95"/>
      <c r="P256" s="34"/>
      <c r="Q256" s="133"/>
      <c r="R256" s="53"/>
      <c r="S256" s="133"/>
      <c r="T256" s="25"/>
      <c r="U256" s="25"/>
      <c r="V256" s="5"/>
    </row>
    <row r="257" spans="1:22" x14ac:dyDescent="0.35">
      <c r="A257" s="142"/>
      <c r="B257" s="14" t="s">
        <v>173</v>
      </c>
      <c r="C257" s="140"/>
      <c r="D257" s="140"/>
      <c r="E257" s="140"/>
      <c r="F257" s="140"/>
      <c r="G257" s="140"/>
      <c r="H257" s="146"/>
      <c r="I257" s="146"/>
      <c r="J257" s="146"/>
      <c r="K257" s="146"/>
      <c r="L257" s="146"/>
      <c r="M257" s="146"/>
      <c r="N257" s="146"/>
      <c r="O257" s="146"/>
      <c r="P257" s="83" t="s">
        <v>106</v>
      </c>
      <c r="Q257" s="17" t="s">
        <v>107</v>
      </c>
      <c r="R257" s="83" t="s">
        <v>115</v>
      </c>
      <c r="S257" s="17" t="s">
        <v>107</v>
      </c>
      <c r="T257" s="140"/>
      <c r="U257" s="141"/>
      <c r="V257" s="5"/>
    </row>
    <row r="258" spans="1:22" x14ac:dyDescent="0.35">
      <c r="A258" s="24"/>
      <c r="B258" s="54" t="s">
        <v>92</v>
      </c>
      <c r="C258" s="25"/>
      <c r="D258" s="25"/>
      <c r="E258" s="25"/>
      <c r="F258" s="25"/>
      <c r="G258" s="25"/>
      <c r="H258" s="95"/>
      <c r="I258" s="95"/>
      <c r="J258" s="95"/>
      <c r="K258" s="95"/>
      <c r="L258" s="95"/>
      <c r="M258" s="95"/>
      <c r="N258" s="95"/>
      <c r="O258" s="95"/>
      <c r="P258" s="54">
        <v>0</v>
      </c>
      <c r="Q258" s="94">
        <v>0</v>
      </c>
      <c r="R258" s="53">
        <v>0</v>
      </c>
      <c r="S258" s="133">
        <v>0</v>
      </c>
      <c r="T258" s="25"/>
      <c r="U258" s="25"/>
      <c r="V258" s="5"/>
    </row>
    <row r="259" spans="1:22" x14ac:dyDescent="0.35">
      <c r="A259" s="24"/>
      <c r="B259" s="54" t="s">
        <v>93</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94</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164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165</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166</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167</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168</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c r="C266" s="25"/>
      <c r="D266" s="25"/>
      <c r="E266" s="25"/>
      <c r="F266" s="25"/>
      <c r="G266" s="25"/>
      <c r="H266" s="95"/>
      <c r="I266" s="95"/>
      <c r="J266" s="95"/>
      <c r="K266" s="95"/>
      <c r="L266" s="95"/>
      <c r="M266" s="95"/>
      <c r="N266" s="95"/>
      <c r="O266" s="95"/>
      <c r="P266" s="54"/>
      <c r="Q266" s="94"/>
      <c r="R266" s="53"/>
      <c r="S266" s="133"/>
      <c r="T266" s="25"/>
      <c r="U266" s="25"/>
      <c r="V266" s="5"/>
    </row>
    <row r="267" spans="1:22" x14ac:dyDescent="0.35">
      <c r="A267" s="24"/>
      <c r="B267" s="25" t="s">
        <v>121</v>
      </c>
      <c r="C267" s="25"/>
      <c r="D267" s="25"/>
      <c r="E267" s="25"/>
      <c r="F267" s="25"/>
      <c r="G267" s="25"/>
      <c r="H267" s="95"/>
      <c r="I267" s="95"/>
      <c r="J267" s="95"/>
      <c r="K267" s="95"/>
      <c r="L267" s="95"/>
      <c r="M267" s="95"/>
      <c r="N267" s="95"/>
      <c r="O267" s="95"/>
      <c r="P267" s="34">
        <f>SUM(P258:P265)</f>
        <v>0</v>
      </c>
      <c r="Q267" s="94">
        <f>SUM(Q258:Q265)</f>
        <v>0</v>
      </c>
      <c r="R267" s="53">
        <f>SUM(R258:R265)</f>
        <v>0</v>
      </c>
      <c r="S267" s="133">
        <f>SUM(S258:S265)</f>
        <v>0</v>
      </c>
      <c r="T267" s="25"/>
      <c r="U267" s="25"/>
      <c r="V267" s="5"/>
    </row>
    <row r="268" spans="1:22" x14ac:dyDescent="0.35">
      <c r="A268" s="24"/>
      <c r="B268" s="25"/>
      <c r="C268" s="25"/>
      <c r="D268" s="25"/>
      <c r="E268" s="25"/>
      <c r="F268" s="25"/>
      <c r="G268" s="25"/>
      <c r="H268" s="95"/>
      <c r="I268" s="95"/>
      <c r="J268" s="95"/>
      <c r="K268" s="95"/>
      <c r="L268" s="95"/>
      <c r="M268" s="95"/>
      <c r="N268" s="95"/>
      <c r="O268" s="95"/>
      <c r="P268" s="34"/>
      <c r="Q268" s="133"/>
      <c r="R268" s="53"/>
      <c r="S268" s="133"/>
      <c r="T268" s="25"/>
      <c r="U268" s="25"/>
      <c r="V268" s="5"/>
    </row>
    <row r="269" spans="1:22" x14ac:dyDescent="0.35">
      <c r="A269" s="24"/>
      <c r="B269" s="143" t="s">
        <v>174</v>
      </c>
      <c r="C269" s="25"/>
      <c r="D269" s="25"/>
      <c r="E269" s="25"/>
      <c r="F269" s="25"/>
      <c r="G269" s="25"/>
      <c r="H269" s="95"/>
      <c r="I269" s="95"/>
      <c r="J269" s="95"/>
      <c r="K269" s="95"/>
      <c r="L269" s="95"/>
      <c r="M269" s="95"/>
      <c r="N269" s="95"/>
      <c r="O269" s="95"/>
      <c r="P269" s="162">
        <f>P267+P255+P243</f>
        <v>7315</v>
      </c>
      <c r="Q269" s="144"/>
      <c r="R269" s="145">
        <f>+R267+R255+R243</f>
        <v>960358</v>
      </c>
      <c r="S269" s="144"/>
      <c r="T269" s="25"/>
      <c r="U269" s="25"/>
      <c r="V269" s="5"/>
    </row>
    <row r="270" spans="1:22" x14ac:dyDescent="0.35">
      <c r="A270" s="24"/>
      <c r="B270" s="25"/>
      <c r="C270" s="25"/>
      <c r="D270" s="25"/>
      <c r="E270" s="25"/>
      <c r="F270" s="25"/>
      <c r="G270" s="25"/>
      <c r="H270" s="95"/>
      <c r="I270" s="95"/>
      <c r="J270" s="95"/>
      <c r="K270" s="95"/>
      <c r="L270" s="95"/>
      <c r="M270" s="95"/>
      <c r="N270" s="95"/>
      <c r="O270" s="95"/>
      <c r="P270" s="95"/>
      <c r="Q270" s="95"/>
      <c r="R270" s="53"/>
      <c r="S270" s="95"/>
      <c r="T270" s="25"/>
      <c r="U270" s="25"/>
      <c r="V270" s="5"/>
    </row>
    <row r="271" spans="1:22" x14ac:dyDescent="0.35">
      <c r="A271" s="6"/>
      <c r="B271" s="8"/>
      <c r="C271" s="8"/>
      <c r="D271" s="8"/>
      <c r="E271" s="8"/>
      <c r="F271" s="8"/>
      <c r="G271" s="8"/>
      <c r="H271" s="96"/>
      <c r="I271" s="96"/>
      <c r="J271" s="96"/>
      <c r="K271" s="96"/>
      <c r="L271" s="96"/>
      <c r="M271" s="96"/>
      <c r="N271" s="96"/>
      <c r="O271" s="96"/>
      <c r="P271" s="96"/>
      <c r="Q271" s="96"/>
      <c r="R271" s="97"/>
      <c r="S271" s="96"/>
      <c r="T271" s="8"/>
      <c r="U271" s="8"/>
      <c r="V271" s="5"/>
    </row>
    <row r="272" spans="1:22" x14ac:dyDescent="0.35">
      <c r="A272" s="168"/>
      <c r="B272" s="14" t="s">
        <v>95</v>
      </c>
      <c r="C272" s="15"/>
      <c r="D272" s="15"/>
      <c r="E272" s="15"/>
      <c r="F272" s="17" t="s">
        <v>101</v>
      </c>
      <c r="G272" s="15"/>
      <c r="H272" s="14" t="s">
        <v>103</v>
      </c>
      <c r="I272" s="163"/>
      <c r="J272" s="163"/>
      <c r="K272" s="163"/>
      <c r="L272" s="163"/>
      <c r="M272" s="163"/>
      <c r="N272" s="163"/>
      <c r="O272" s="163"/>
      <c r="P272" s="163"/>
      <c r="Q272" s="163"/>
      <c r="R272" s="163"/>
      <c r="S272" s="163"/>
      <c r="T272" s="163"/>
      <c r="U272" s="163"/>
      <c r="V272" s="5"/>
    </row>
    <row r="273" spans="1:22" x14ac:dyDescent="0.35">
      <c r="A273" s="168"/>
      <c r="B273" s="13" t="s">
        <v>96</v>
      </c>
      <c r="C273" s="13"/>
      <c r="D273" s="13"/>
      <c r="E273" s="13"/>
      <c r="F273" s="131" t="s">
        <v>155</v>
      </c>
      <c r="G273" s="13"/>
      <c r="H273" s="13" t="s">
        <v>160</v>
      </c>
      <c r="I273" s="163"/>
      <c r="J273" s="163"/>
      <c r="K273" s="163"/>
      <c r="L273" s="163"/>
      <c r="M273" s="163"/>
      <c r="N273" s="163"/>
      <c r="O273" s="163"/>
      <c r="P273" s="163"/>
      <c r="Q273" s="163"/>
      <c r="R273" s="163"/>
      <c r="S273" s="163"/>
      <c r="T273" s="163"/>
      <c r="U273" s="163"/>
      <c r="V273" s="5"/>
    </row>
    <row r="274" spans="1:22" x14ac:dyDescent="0.35">
      <c r="A274" s="168"/>
      <c r="B274" s="13" t="s">
        <v>277</v>
      </c>
      <c r="C274" s="13"/>
      <c r="D274" s="13"/>
      <c r="E274" s="13"/>
      <c r="F274" s="131" t="s">
        <v>278</v>
      </c>
      <c r="G274" s="13"/>
      <c r="H274" s="13" t="s">
        <v>279</v>
      </c>
      <c r="I274" s="163"/>
      <c r="J274" s="163"/>
      <c r="K274" s="163"/>
      <c r="L274" s="163"/>
      <c r="M274" s="163"/>
      <c r="N274" s="163"/>
      <c r="O274" s="163"/>
      <c r="P274" s="163"/>
      <c r="Q274" s="163"/>
      <c r="R274" s="163"/>
      <c r="S274" s="163"/>
      <c r="T274" s="163"/>
      <c r="U274" s="163"/>
      <c r="V274" s="5"/>
    </row>
    <row r="275" spans="1:22" x14ac:dyDescent="0.35">
      <c r="A275" s="168"/>
      <c r="B275" s="13" t="s">
        <v>97</v>
      </c>
      <c r="C275" s="13"/>
      <c r="D275" s="13"/>
      <c r="E275" s="13"/>
      <c r="F275" s="131" t="s">
        <v>154</v>
      </c>
      <c r="G275" s="13"/>
      <c r="H275" s="13" t="s">
        <v>161</v>
      </c>
      <c r="I275" s="163"/>
      <c r="J275" s="163"/>
      <c r="K275" s="163"/>
      <c r="L275" s="163"/>
      <c r="M275" s="163"/>
      <c r="N275" s="163"/>
      <c r="O275" s="163"/>
      <c r="P275" s="163"/>
      <c r="Q275" s="163"/>
      <c r="R275" s="163"/>
      <c r="S275" s="163"/>
      <c r="T275" s="163"/>
      <c r="U275" s="163"/>
      <c r="V275" s="5"/>
    </row>
    <row r="276" spans="1:22" x14ac:dyDescent="0.35">
      <c r="A276" s="168"/>
      <c r="B276" s="13"/>
      <c r="C276" s="13"/>
      <c r="D276" s="13"/>
      <c r="E276" s="13"/>
      <c r="F276" s="13"/>
      <c r="G276" s="99"/>
      <c r="H276" s="163"/>
      <c r="I276" s="163"/>
      <c r="J276" s="163"/>
      <c r="K276" s="163"/>
      <c r="L276" s="163"/>
      <c r="M276" s="163"/>
      <c r="N276" s="163"/>
      <c r="O276" s="163"/>
      <c r="P276" s="163"/>
      <c r="Q276" s="163"/>
      <c r="R276" s="163"/>
      <c r="S276" s="163"/>
      <c r="T276" s="163"/>
      <c r="U276" s="163"/>
      <c r="V276" s="5"/>
    </row>
    <row r="277" spans="1:22" x14ac:dyDescent="0.35">
      <c r="A277" s="168"/>
      <c r="B277" s="13"/>
      <c r="C277" s="13"/>
      <c r="D277" s="13"/>
      <c r="E277" s="13"/>
      <c r="F277" s="13"/>
      <c r="G277" s="99"/>
      <c r="H277" s="163"/>
      <c r="I277" s="163"/>
      <c r="J277" s="163"/>
      <c r="K277" s="163"/>
      <c r="L277" s="163"/>
      <c r="M277" s="163"/>
      <c r="N277" s="163"/>
      <c r="O277" s="163"/>
      <c r="P277" s="163"/>
      <c r="Q277" s="163"/>
      <c r="R277" s="163"/>
      <c r="S277" s="163"/>
      <c r="T277" s="163"/>
      <c r="U277" s="163"/>
      <c r="V277" s="5"/>
    </row>
    <row r="278" spans="1:22" ht="18" thickBot="1" x14ac:dyDescent="0.4">
      <c r="A278" s="168"/>
      <c r="B278" s="49" t="str">
        <f>B194</f>
        <v>PM10 INVESTOR REPORT QUARTER ENDING AUGUST 2006</v>
      </c>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00"/>
      <c r="B279" s="100"/>
      <c r="C279" s="100"/>
      <c r="D279" s="100"/>
      <c r="E279" s="100"/>
      <c r="F279" s="100"/>
      <c r="G279" s="100"/>
      <c r="H279" s="100"/>
      <c r="I279" s="100"/>
      <c r="J279" s="100"/>
      <c r="K279" s="100"/>
      <c r="L279" s="100"/>
      <c r="M279" s="100"/>
      <c r="N279" s="100"/>
      <c r="O279" s="100"/>
      <c r="P279" s="100"/>
      <c r="Q279" s="100"/>
      <c r="R279" s="100"/>
      <c r="S279" s="100"/>
      <c r="T279" s="100"/>
      <c r="U279" s="100"/>
    </row>
  </sheetData>
  <phoneticPr fontId="0" type="noConversion"/>
  <hyperlinks>
    <hyperlink ref="J9" r:id="rId1" xr:uid="{00000000-0004-0000-0200-000000000000}"/>
    <hyperlink ref="N231" r:id="rId2" xr:uid="{00000000-0004-0000-0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4" max="14" man="1"/>
    <brk id="194" max="14" man="1"/>
  </rowBreaks>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0.66310000000000002</v>
      </c>
      <c r="R16" s="222" t="s">
        <v>147</v>
      </c>
      <c r="S16" s="221">
        <v>0.33689999999999998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41449</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169118.07</v>
      </c>
      <c r="E32" s="289"/>
      <c r="F32" s="290">
        <f>F31*F38</f>
        <v>105000</v>
      </c>
      <c r="G32" s="290"/>
      <c r="H32" s="295">
        <f>H31*H38</f>
        <v>222000</v>
      </c>
      <c r="I32" s="290"/>
      <c r="J32" s="290">
        <f>J31*J38</f>
        <v>28368.540199999999</v>
      </c>
      <c r="K32" s="290"/>
      <c r="L32" s="295">
        <f>L31*L38</f>
        <v>17844.726900000001</v>
      </c>
      <c r="M32" s="290"/>
      <c r="N32" s="296">
        <f>N31*N38</f>
        <v>47128.381300000001</v>
      </c>
      <c r="O32" s="290"/>
      <c r="P32" s="295">
        <f>P31*P38</f>
        <v>25165.640500000001</v>
      </c>
      <c r="Q32" s="290"/>
      <c r="R32" s="290"/>
      <c r="S32" s="291"/>
      <c r="T32" s="290"/>
      <c r="U32" s="292"/>
      <c r="V32" s="5"/>
    </row>
    <row r="33" spans="1:22" x14ac:dyDescent="0.35">
      <c r="A33" s="278"/>
      <c r="B33" s="286" t="s">
        <v>141</v>
      </c>
      <c r="C33" s="289"/>
      <c r="D33" s="299">
        <f>D37*D31</f>
        <v>166067.33000000002</v>
      </c>
      <c r="E33" s="293"/>
      <c r="F33" s="297">
        <f>F37*F31</f>
        <v>105000</v>
      </c>
      <c r="G33" s="297"/>
      <c r="H33" s="300">
        <f>H31*H37</f>
        <v>222000</v>
      </c>
      <c r="I33" s="297"/>
      <c r="J33" s="297">
        <f>J31*J37</f>
        <v>28227.4902</v>
      </c>
      <c r="K33" s="297"/>
      <c r="L33" s="300">
        <f>L31*L37</f>
        <v>17756.001899999999</v>
      </c>
      <c r="M33" s="297"/>
      <c r="N33" s="297">
        <f>N31*N37</f>
        <v>46894.056300000004</v>
      </c>
      <c r="O33" s="297"/>
      <c r="P33" s="300">
        <f>P31*P37</f>
        <v>25040.515500000001</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97027.034095200012</v>
      </c>
      <c r="E35" s="289"/>
      <c r="F35" s="290">
        <f>F34*F38</f>
        <v>105000</v>
      </c>
      <c r="G35" s="290"/>
      <c r="H35" s="290">
        <f>H34*H38</f>
        <v>150000</v>
      </c>
      <c r="I35" s="290"/>
      <c r="J35" s="290">
        <f>J32</f>
        <v>28368.540199999999</v>
      </c>
      <c r="K35" s="290"/>
      <c r="L35" s="290">
        <f>L34*L38</f>
        <v>12057.5446992</v>
      </c>
      <c r="M35" s="290"/>
      <c r="N35" s="290">
        <f>N32</f>
        <v>47128.381300000001</v>
      </c>
      <c r="O35" s="290"/>
      <c r="P35" s="290">
        <f>P34*P38</f>
        <v>17003.7369502</v>
      </c>
      <c r="Q35" s="290"/>
      <c r="R35" s="290"/>
      <c r="S35" s="291"/>
      <c r="T35" s="290">
        <f>SUM(C35:P35)</f>
        <v>456585.23724460002</v>
      </c>
      <c r="U35" s="292"/>
      <c r="V35" s="5"/>
    </row>
    <row r="36" spans="1:22" x14ac:dyDescent="0.35">
      <c r="A36" s="283"/>
      <c r="B36" s="286" t="s">
        <v>298</v>
      </c>
      <c r="C36" s="293"/>
      <c r="D36" s="297">
        <f>D37*D34</f>
        <v>95276.752448800005</v>
      </c>
      <c r="E36" s="293"/>
      <c r="F36" s="297">
        <f>F37*F34</f>
        <v>105000</v>
      </c>
      <c r="G36" s="297"/>
      <c r="H36" s="297">
        <f>H37*H34</f>
        <v>150000</v>
      </c>
      <c r="I36" s="297"/>
      <c r="J36" s="297">
        <f>J37*J34</f>
        <v>28227.4902</v>
      </c>
      <c r="K36" s="297"/>
      <c r="L36" s="297">
        <f>L37*L34</f>
        <v>11997.593899200001</v>
      </c>
      <c r="M36" s="297"/>
      <c r="N36" s="297">
        <f>N37*N34</f>
        <v>46894.056300000004</v>
      </c>
      <c r="O36" s="297"/>
      <c r="P36" s="297">
        <f>P34*P37</f>
        <v>16919.193400200002</v>
      </c>
      <c r="Q36" s="322"/>
      <c r="R36" s="322"/>
      <c r="S36" s="291"/>
      <c r="T36" s="297">
        <f>SUM(C36:P36)</f>
        <v>454315.08624819998</v>
      </c>
      <c r="U36" s="292"/>
      <c r="V36" s="5"/>
    </row>
    <row r="37" spans="1:22" x14ac:dyDescent="0.35">
      <c r="A37" s="305"/>
      <c r="B37" s="306" t="s">
        <v>137</v>
      </c>
      <c r="C37" s="307"/>
      <c r="D37" s="308">
        <v>0.1509703</v>
      </c>
      <c r="E37" s="309"/>
      <c r="F37" s="308">
        <v>1</v>
      </c>
      <c r="G37" s="308"/>
      <c r="H37" s="308">
        <v>1</v>
      </c>
      <c r="I37" s="308"/>
      <c r="J37" s="308">
        <v>0.91056420000000005</v>
      </c>
      <c r="K37" s="308"/>
      <c r="L37" s="308">
        <v>0.91056420000000005</v>
      </c>
      <c r="M37" s="308"/>
      <c r="N37" s="308">
        <v>0.91056420000000005</v>
      </c>
      <c r="O37" s="308"/>
      <c r="P37" s="308">
        <v>0.91056420000000005</v>
      </c>
      <c r="Q37" s="310"/>
      <c r="R37" s="310"/>
      <c r="S37" s="311"/>
      <c r="T37" s="311"/>
      <c r="U37" s="312"/>
      <c r="V37" s="5"/>
    </row>
    <row r="38" spans="1:22" x14ac:dyDescent="0.35">
      <c r="A38" s="305"/>
      <c r="B38" s="306" t="s">
        <v>138</v>
      </c>
      <c r="C38" s="307"/>
      <c r="D38" s="308">
        <v>0.15374370000000001</v>
      </c>
      <c r="E38" s="309"/>
      <c r="F38" s="308">
        <v>1</v>
      </c>
      <c r="G38" s="308"/>
      <c r="H38" s="308">
        <v>1</v>
      </c>
      <c r="I38" s="308"/>
      <c r="J38" s="308">
        <v>0.91511419999999999</v>
      </c>
      <c r="K38" s="308"/>
      <c r="L38" s="308">
        <v>0.91511419999999999</v>
      </c>
      <c r="M38" s="308"/>
      <c r="N38" s="308">
        <v>0.91511419999999999</v>
      </c>
      <c r="O38" s="308"/>
      <c r="P38" s="308">
        <v>0.91511419999999999</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2.892E-3</v>
      </c>
      <c r="E40" s="279"/>
      <c r="F40" s="316">
        <v>8.2687999999999998E-3</v>
      </c>
      <c r="G40" s="315"/>
      <c r="H40" s="316">
        <v>5.2300000000000003E-3</v>
      </c>
      <c r="I40" s="315"/>
      <c r="J40" s="316">
        <v>1.04688E-2</v>
      </c>
      <c r="K40" s="315"/>
      <c r="L40" s="316">
        <v>7.43E-3</v>
      </c>
      <c r="M40" s="315"/>
      <c r="N40" s="316">
        <v>1.6068800000000001E-2</v>
      </c>
      <c r="O40" s="315"/>
      <c r="P40" s="316">
        <v>1.303E-2</v>
      </c>
      <c r="Q40" s="315"/>
      <c r="R40" s="316"/>
      <c r="S40" s="281"/>
      <c r="T40" s="287"/>
      <c r="U40" s="282"/>
      <c r="V40" s="5"/>
    </row>
    <row r="41" spans="1:22" x14ac:dyDescent="0.35">
      <c r="A41" s="278"/>
      <c r="B41" s="279" t="s">
        <v>13</v>
      </c>
      <c r="C41" s="279"/>
      <c r="D41" s="316">
        <v>2.9120000000000001E-3</v>
      </c>
      <c r="E41" s="279"/>
      <c r="F41" s="316">
        <v>8.3875000000000009E-3</v>
      </c>
      <c r="G41" s="315"/>
      <c r="H41" s="316">
        <v>5.0299999999999997E-3</v>
      </c>
      <c r="I41" s="315"/>
      <c r="J41" s="316">
        <v>1.05875E-2</v>
      </c>
      <c r="K41" s="315"/>
      <c r="L41" s="316">
        <v>7.2300000000000003E-3</v>
      </c>
      <c r="M41" s="315"/>
      <c r="N41" s="316">
        <v>1.61875E-2</v>
      </c>
      <c r="O41" s="315"/>
      <c r="P41" s="316">
        <v>1.2829999999999999E-2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6.2243999999999997E-3</v>
      </c>
      <c r="E43" s="279"/>
      <c r="F43" s="316">
        <f>+F40</f>
        <v>8.2687999999999998E-3</v>
      </c>
      <c r="G43" s="315"/>
      <c r="H43" s="316">
        <v>8.7188000000000005E-3</v>
      </c>
      <c r="I43" s="315"/>
      <c r="J43" s="316">
        <f>+J40</f>
        <v>1.04688E-2</v>
      </c>
      <c r="K43" s="315"/>
      <c r="L43" s="316">
        <v>1.11988E-2</v>
      </c>
      <c r="M43" s="315"/>
      <c r="N43" s="316">
        <f>+N40</f>
        <v>1.6068800000000001E-2</v>
      </c>
      <c r="O43" s="315"/>
      <c r="P43" s="316">
        <v>1.72988E-2</v>
      </c>
      <c r="Q43" s="287"/>
      <c r="R43" s="287"/>
      <c r="S43" s="281"/>
      <c r="T43" s="315">
        <f>SUMPRODUCT(D43:P43,D35:P35)/T35</f>
        <v>9.3376528776135045E-3</v>
      </c>
      <c r="U43" s="282"/>
      <c r="V43" s="5"/>
    </row>
    <row r="44" spans="1:22" x14ac:dyDescent="0.35">
      <c r="A44" s="278"/>
      <c r="B44" s="279" t="s">
        <v>301</v>
      </c>
      <c r="C44" s="317"/>
      <c r="D44" s="316">
        <v>6.3431E-3</v>
      </c>
      <c r="E44" s="279"/>
      <c r="F44" s="316">
        <f>+F41</f>
        <v>8.3875000000000009E-3</v>
      </c>
      <c r="G44" s="315"/>
      <c r="H44" s="316">
        <v>8.8374999999999999E-3</v>
      </c>
      <c r="I44" s="315"/>
      <c r="J44" s="316">
        <f>+J41</f>
        <v>1.05875E-2</v>
      </c>
      <c r="K44" s="315"/>
      <c r="L44" s="316">
        <v>1.1317499999999999E-2</v>
      </c>
      <c r="M44" s="315"/>
      <c r="N44" s="316">
        <f>+N41</f>
        <v>1.61875E-2</v>
      </c>
      <c r="O44" s="315"/>
      <c r="P44" s="316">
        <v>1.7417499999999999E-2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0.29701752420639815</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41442</v>
      </c>
      <c r="U56" s="282"/>
      <c r="V56" s="5"/>
    </row>
    <row r="57" spans="1:23" x14ac:dyDescent="0.35">
      <c r="A57" s="278"/>
      <c r="B57" s="279" t="s">
        <v>128</v>
      </c>
      <c r="C57" s="279"/>
      <c r="D57" s="279"/>
      <c r="E57" s="279"/>
      <c r="F57" s="279"/>
      <c r="G57" s="279"/>
      <c r="H57" s="326"/>
      <c r="I57" s="326"/>
      <c r="J57" s="326"/>
      <c r="K57" s="326"/>
      <c r="L57" s="326"/>
      <c r="M57" s="326"/>
      <c r="N57" s="326"/>
      <c r="O57" s="326"/>
      <c r="P57" s="279">
        <f>+T57-R57+1</f>
        <v>88</v>
      </c>
      <c r="Q57" s="279"/>
      <c r="R57" s="327">
        <v>41260</v>
      </c>
      <c r="S57" s="328"/>
      <c r="T57" s="327">
        <v>41347</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94</v>
      </c>
      <c r="Q58" s="279"/>
      <c r="R58" s="327">
        <v>41348</v>
      </c>
      <c r="S58" s="328"/>
      <c r="T58" s="327">
        <v>41441</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41428</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328</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456585</v>
      </c>
      <c r="M68" s="332"/>
      <c r="N68" s="332">
        <f>2270+159+4</f>
        <v>2433</v>
      </c>
      <c r="O68" s="332"/>
      <c r="P68" s="332">
        <f>159+4</f>
        <v>163</v>
      </c>
      <c r="Q68" s="332"/>
      <c r="R68" s="332">
        <v>0</v>
      </c>
      <c r="S68" s="332"/>
      <c r="T68" s="333">
        <f>+L68-N68+P68-R68</f>
        <v>454315</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456585</v>
      </c>
      <c r="M71" s="332"/>
      <c r="N71" s="332">
        <f>SUM(N68:N70)</f>
        <v>2433</v>
      </c>
      <c r="O71" s="332"/>
      <c r="P71" s="332">
        <f>SUM(P68:P70)</f>
        <v>163</v>
      </c>
      <c r="Q71" s="332"/>
      <c r="R71" s="332">
        <f>SUM(R68:R70)</f>
        <v>0</v>
      </c>
      <c r="S71" s="332"/>
      <c r="T71" s="332">
        <f>SUM(T68:T70)</f>
        <v>454315</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456585</v>
      </c>
      <c r="M84" s="332"/>
      <c r="N84" s="332"/>
      <c r="O84" s="332"/>
      <c r="P84" s="332"/>
      <c r="Q84" s="332"/>
      <c r="R84" s="332"/>
      <c r="S84" s="332"/>
      <c r="T84" s="332">
        <f>SUM(T71:T83)</f>
        <v>454315</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41425</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2433-29</f>
        <v>2404</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2074+1160-303-222</f>
        <v>2709</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21+8</f>
        <v>29</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23</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302</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2404</v>
      </c>
      <c r="S96" s="279"/>
      <c r="T96" s="332">
        <f>SUM(T88:T95)</f>
        <v>3063</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-1</v>
      </c>
      <c r="S97" s="279"/>
      <c r="T97" s="332">
        <v>1</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-190</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2403</v>
      </c>
      <c r="S100" s="279"/>
      <c r="T100" s="332">
        <f>T96+T98+T97+T99</f>
        <v>2874</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-176-171-6</f>
        <v>-353</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-73</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-716+224</f>
        <v>-492</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-224</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-35</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-76</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-76</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-195</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-9</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29</v>
      </c>
      <c r="S115" s="279"/>
      <c r="T115" s="333">
        <v>-29</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-175</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-1134</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-3</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-159</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-1750</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-141</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-60</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-234</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-85</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-2432</v>
      </c>
      <c r="S132" s="332"/>
      <c r="T132" s="332">
        <f>SUM(T101:T130)</f>
        <v>-2874</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MAY 2013</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2300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267</v>
      </c>
      <c r="C155" s="279"/>
      <c r="D155" s="279"/>
      <c r="E155" s="279"/>
      <c r="F155" s="279"/>
      <c r="G155" s="279"/>
      <c r="H155" s="279"/>
      <c r="I155" s="279"/>
      <c r="J155" s="279"/>
      <c r="K155" s="279"/>
      <c r="L155" s="279"/>
      <c r="M155" s="279"/>
      <c r="N155" s="279"/>
      <c r="O155" s="279"/>
      <c r="P155" s="279"/>
      <c r="Q155" s="279"/>
      <c r="R155" s="279"/>
      <c r="S155" s="279"/>
      <c r="T155" s="333">
        <v>2300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29</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29</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-29</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190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454315</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454315</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+'Feb 13'!Q183</f>
        <v>43543</v>
      </c>
      <c r="R181" s="333">
        <f>+'Feb 13'!R183</f>
        <v>5995</v>
      </c>
      <c r="S181" s="279"/>
      <c r="T181" s="333">
        <f>Q181+R181</f>
        <v>49538</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159</v>
      </c>
      <c r="R182" s="332">
        <v>0</v>
      </c>
      <c r="S182" s="279"/>
      <c r="T182" s="333">
        <f>Q182+R182</f>
        <v>159</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43702</v>
      </c>
      <c r="R183" s="333">
        <f>R182+R181</f>
        <v>5995</v>
      </c>
      <c r="S183" s="279"/>
      <c r="T183" s="333">
        <f>Q183+R183</f>
        <v>49697</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110359.48000000001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3.4148044692737431</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1.62</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15.576576576576576</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8.39</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5.9704797047970484</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4.17</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MAY 2013</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41425</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2.239E-2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9.3376528776135045E-3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1.3052347122386496E-2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6.294556325766287E-3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14.25</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5.3286901672196857E-3</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0.10589999999999999</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49</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104</v>
      </c>
      <c r="R217" s="358">
        <f>+R269</f>
        <v>16707</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29</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'Feb 13'!R223+R222</f>
        <v>5210</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2</v>
      </c>
      <c r="R229" s="358">
        <v>136</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0.5</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3350</v>
      </c>
      <c r="Q236" s="378">
        <f t="shared" ref="Q236:Q243" si="2">P236/$P$245</f>
        <v>0.99554234769687966</v>
      </c>
      <c r="R236" s="237">
        <f t="shared" ref="R236:R243" si="3">+R248+R260+R272</f>
        <v>451581</v>
      </c>
      <c r="S236" s="378">
        <f t="shared" ref="S236:S243" si="4">R236/$R$245</f>
        <v>0.99398214894951742</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5</v>
      </c>
      <c r="Q237" s="378">
        <f t="shared" si="2"/>
        <v>1.4858841010401188E-3</v>
      </c>
      <c r="R237" s="333">
        <f t="shared" si="3"/>
        <v>1364</v>
      </c>
      <c r="S237" s="378">
        <f t="shared" si="4"/>
        <v>3.0023221773439134E-3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2</v>
      </c>
      <c r="Q238" s="378">
        <f t="shared" si="2"/>
        <v>5.943536404160475E-4</v>
      </c>
      <c r="R238" s="333">
        <f t="shared" si="3"/>
        <v>222</v>
      </c>
      <c r="S238" s="378">
        <f t="shared" si="4"/>
        <v>4.8864774440641405E-4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3</v>
      </c>
      <c r="Q240" s="378">
        <f t="shared" si="2"/>
        <v>8.915304606240713E-4</v>
      </c>
      <c r="R240" s="333">
        <f t="shared" si="3"/>
        <v>399</v>
      </c>
      <c r="S240" s="378">
        <f t="shared" si="4"/>
        <v>8.7824527035206847E-4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0</v>
      </c>
      <c r="Q241" s="378">
        <f t="shared" si="2"/>
        <v>0</v>
      </c>
      <c r="R241" s="333">
        <f t="shared" si="3"/>
        <v>0</v>
      </c>
      <c r="S241" s="378">
        <f t="shared" si="4"/>
        <v>0</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4</v>
      </c>
      <c r="Q242" s="378">
        <f t="shared" si="2"/>
        <v>1.188707280832095E-3</v>
      </c>
      <c r="R242" s="333">
        <f t="shared" si="3"/>
        <v>613</v>
      </c>
      <c r="S242" s="378">
        <f t="shared" si="4"/>
        <v>1.3492840870321253E-3</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2.9717682020802375E-4</v>
      </c>
      <c r="R243" s="333">
        <f t="shared" si="3"/>
        <v>136</v>
      </c>
      <c r="S243" s="383">
        <f t="shared" si="4"/>
        <v>2.9935177134807347E-4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3365</v>
      </c>
      <c r="Q245" s="378">
        <f>SUM(Q236:Q244)</f>
        <v>1</v>
      </c>
      <c r="R245" s="333">
        <f>SUM(R236:R244)</f>
        <v>454315</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3253</v>
      </c>
      <c r="Q248" s="244">
        <f t="shared" ref="Q248:Q255" si="5">P248/$P$257</f>
        <v>0.99754676479607485</v>
      </c>
      <c r="R248" s="237">
        <v>435973</v>
      </c>
      <c r="S248" s="244">
        <f t="shared" ref="S248:S255" si="6">R248/$R$257</f>
        <v>0.99626377945558586</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5</v>
      </c>
      <c r="Q249" s="378">
        <f t="shared" si="5"/>
        <v>1.5332720024532351E-3</v>
      </c>
      <c r="R249" s="333">
        <v>1364</v>
      </c>
      <c r="S249" s="378">
        <f t="shared" si="6"/>
        <v>3.116944845615254E-3</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2</v>
      </c>
      <c r="Q250" s="378">
        <f t="shared" si="5"/>
        <v>6.1330880098129411E-4</v>
      </c>
      <c r="R250" s="333">
        <v>222</v>
      </c>
      <c r="S250" s="378">
        <f t="shared" si="6"/>
        <v>5.0730333997550323E-4</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1</v>
      </c>
      <c r="Q252" s="378">
        <f t="shared" si="5"/>
        <v>3.0665440049064706E-4</v>
      </c>
      <c r="R252" s="333">
        <v>49</v>
      </c>
      <c r="S252" s="378">
        <f t="shared" si="6"/>
        <v>1.1197235882342188E-4</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3261</v>
      </c>
      <c r="Q257" s="378">
        <f>SUM(Q248:Q256)</f>
        <v>1</v>
      </c>
      <c r="R257" s="333">
        <f>SUM(R248:R256)</f>
        <v>437608</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97</v>
      </c>
      <c r="Q260" s="244">
        <f t="shared" ref="Q260:Q267" si="7">P260/$P$269</f>
        <v>0.93269230769230771</v>
      </c>
      <c r="R260" s="237">
        <v>15608</v>
      </c>
      <c r="S260" s="244">
        <f t="shared" ref="S260:S267" si="8">R260/$R$269</f>
        <v>0.93421918956126171</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0</v>
      </c>
      <c r="Q261" s="378">
        <f t="shared" si="7"/>
        <v>0</v>
      </c>
      <c r="R261" s="333">
        <v>0</v>
      </c>
      <c r="S261" s="378">
        <f t="shared" si="8"/>
        <v>0</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1.9230769230769232E-2</v>
      </c>
      <c r="R264" s="333">
        <v>350</v>
      </c>
      <c r="S264" s="378">
        <f t="shared" si="8"/>
        <v>2.0949302687496257E-2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0</v>
      </c>
      <c r="Q265" s="378">
        <f t="shared" si="7"/>
        <v>0</v>
      </c>
      <c r="R265" s="333">
        <v>0</v>
      </c>
      <c r="S265" s="378">
        <f t="shared" si="8"/>
        <v>0</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4</v>
      </c>
      <c r="Q266" s="378">
        <f t="shared" si="7"/>
        <v>3.8461538461538464E-2</v>
      </c>
      <c r="R266" s="333">
        <v>613</v>
      </c>
      <c r="S266" s="378">
        <f t="shared" si="8"/>
        <v>3.6691207278386304E-2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9.6153846153846159E-3</v>
      </c>
      <c r="R267" s="333">
        <v>136</v>
      </c>
      <c r="S267" s="378">
        <f t="shared" si="8"/>
        <v>8.14030047285569E-3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104</v>
      </c>
      <c r="Q269" s="378">
        <f>SUM(Q260:Q268)</f>
        <v>1</v>
      </c>
      <c r="R269" s="333">
        <f>SUM(R260:R268)</f>
        <v>16707</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3365</v>
      </c>
      <c r="Q283" s="378"/>
      <c r="R283" s="382">
        <f>+R281+R269+R257</f>
        <v>454315</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MAY 2013</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1D00-000000000000}"/>
    <hyperlink ref="N233" r:id="rId2" xr:uid="{00000000-0004-0000-1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0.66339999999999999</v>
      </c>
      <c r="R16" s="222" t="s">
        <v>147</v>
      </c>
      <c r="S16" s="221">
        <v>0.33660000000000001</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41540</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166067.33000000002</v>
      </c>
      <c r="E32" s="289"/>
      <c r="F32" s="290">
        <f>F31*F38</f>
        <v>105000</v>
      </c>
      <c r="G32" s="290"/>
      <c r="H32" s="295">
        <f>H31*H38</f>
        <v>222000</v>
      </c>
      <c r="I32" s="290"/>
      <c r="J32" s="290">
        <f>J31*J38</f>
        <v>28227.4902</v>
      </c>
      <c r="K32" s="290"/>
      <c r="L32" s="295">
        <f>L31*L38</f>
        <v>17756.001899999999</v>
      </c>
      <c r="M32" s="290"/>
      <c r="N32" s="296">
        <f>N31*N38</f>
        <v>46894.056300000004</v>
      </c>
      <c r="O32" s="290"/>
      <c r="P32" s="295">
        <f>P31*P38</f>
        <v>25040.515500000001</v>
      </c>
      <c r="Q32" s="290"/>
      <c r="R32" s="290"/>
      <c r="S32" s="291"/>
      <c r="T32" s="290"/>
      <c r="U32" s="292"/>
      <c r="V32" s="5"/>
    </row>
    <row r="33" spans="1:22" x14ac:dyDescent="0.35">
      <c r="A33" s="278"/>
      <c r="B33" s="286" t="s">
        <v>141</v>
      </c>
      <c r="C33" s="289"/>
      <c r="D33" s="299">
        <f>D37*D31</f>
        <v>163093.15</v>
      </c>
      <c r="E33" s="293"/>
      <c r="F33" s="297">
        <f>F37*F31</f>
        <v>105000</v>
      </c>
      <c r="G33" s="297"/>
      <c r="H33" s="300">
        <f>H31*H37</f>
        <v>222000</v>
      </c>
      <c r="I33" s="297"/>
      <c r="J33" s="297">
        <f>J31*J37</f>
        <v>28089.980399999997</v>
      </c>
      <c r="K33" s="297"/>
      <c r="L33" s="300">
        <f>L31*L37</f>
        <v>17669.503799999999</v>
      </c>
      <c r="M33" s="297"/>
      <c r="N33" s="297">
        <f>N31*N37</f>
        <v>46665.6126</v>
      </c>
      <c r="O33" s="297"/>
      <c r="P33" s="300">
        <f>P31*P37</f>
        <v>24918.530999999999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95276.752448800005</v>
      </c>
      <c r="E35" s="289"/>
      <c r="F35" s="290">
        <f>F34*F38</f>
        <v>105000</v>
      </c>
      <c r="G35" s="290"/>
      <c r="H35" s="290">
        <f>H34*H38</f>
        <v>150000</v>
      </c>
      <c r="I35" s="290"/>
      <c r="J35" s="290">
        <f>J32</f>
        <v>28227.4902</v>
      </c>
      <c r="K35" s="290"/>
      <c r="L35" s="290">
        <f>L34*L38</f>
        <v>11997.593899200001</v>
      </c>
      <c r="M35" s="290"/>
      <c r="N35" s="290">
        <f>N32</f>
        <v>46894.056300000004</v>
      </c>
      <c r="O35" s="290"/>
      <c r="P35" s="290">
        <f>P34*P38</f>
        <v>16919.193400200002</v>
      </c>
      <c r="Q35" s="290"/>
      <c r="R35" s="290"/>
      <c r="S35" s="291"/>
      <c r="T35" s="290">
        <f>SUM(C35:P35)</f>
        <v>454315.08624819998</v>
      </c>
      <c r="U35" s="292"/>
      <c r="V35" s="5"/>
    </row>
    <row r="36" spans="1:22" x14ac:dyDescent="0.35">
      <c r="A36" s="283"/>
      <c r="B36" s="286" t="s">
        <v>298</v>
      </c>
      <c r="C36" s="293"/>
      <c r="D36" s="297">
        <f>D37*D34</f>
        <v>93570.395084000003</v>
      </c>
      <c r="E36" s="293"/>
      <c r="F36" s="297">
        <f>F37*F34</f>
        <v>105000</v>
      </c>
      <c r="G36" s="297"/>
      <c r="H36" s="297">
        <f>H37*H34</f>
        <v>150000</v>
      </c>
      <c r="I36" s="297"/>
      <c r="J36" s="297">
        <f>J37*J34</f>
        <v>28089.980399999997</v>
      </c>
      <c r="K36" s="297"/>
      <c r="L36" s="297">
        <f>L37*L34</f>
        <v>11939.147798399999</v>
      </c>
      <c r="M36" s="297"/>
      <c r="N36" s="297">
        <f>N37*N34</f>
        <v>46665.6126</v>
      </c>
      <c r="O36" s="297"/>
      <c r="P36" s="297">
        <f>P34*P37</f>
        <v>16836.771800399998</v>
      </c>
      <c r="Q36" s="322"/>
      <c r="R36" s="322"/>
      <c r="S36" s="291"/>
      <c r="T36" s="297">
        <f>SUM(C36:P36)</f>
        <v>452101.90768280003</v>
      </c>
      <c r="U36" s="292"/>
      <c r="V36" s="5"/>
    </row>
    <row r="37" spans="1:22" x14ac:dyDescent="0.35">
      <c r="A37" s="305"/>
      <c r="B37" s="306" t="s">
        <v>137</v>
      </c>
      <c r="C37" s="307"/>
      <c r="D37" s="308">
        <v>0.1482665</v>
      </c>
      <c r="E37" s="309"/>
      <c r="F37" s="308">
        <v>1</v>
      </c>
      <c r="G37" s="308"/>
      <c r="H37" s="308">
        <v>1</v>
      </c>
      <c r="I37" s="308"/>
      <c r="J37" s="308">
        <v>0.90612839999999995</v>
      </c>
      <c r="K37" s="308"/>
      <c r="L37" s="308">
        <v>0.90612839999999995</v>
      </c>
      <c r="M37" s="308"/>
      <c r="N37" s="308">
        <v>0.90612839999999995</v>
      </c>
      <c r="O37" s="308"/>
      <c r="P37" s="308">
        <v>0.90612839999999995</v>
      </c>
      <c r="Q37" s="310"/>
      <c r="R37" s="310"/>
      <c r="S37" s="311"/>
      <c r="T37" s="311"/>
      <c r="U37" s="312"/>
      <c r="V37" s="5"/>
    </row>
    <row r="38" spans="1:22" x14ac:dyDescent="0.35">
      <c r="A38" s="305"/>
      <c r="B38" s="306" t="s">
        <v>138</v>
      </c>
      <c r="C38" s="307"/>
      <c r="D38" s="308">
        <v>0.1509703</v>
      </c>
      <c r="E38" s="309"/>
      <c r="F38" s="308">
        <v>1</v>
      </c>
      <c r="G38" s="308"/>
      <c r="H38" s="308">
        <v>1</v>
      </c>
      <c r="I38" s="308"/>
      <c r="J38" s="308">
        <v>0.91056420000000005</v>
      </c>
      <c r="K38" s="308"/>
      <c r="L38" s="308">
        <v>0.91056420000000005</v>
      </c>
      <c r="M38" s="308"/>
      <c r="N38" s="308">
        <v>0.91056420000000005</v>
      </c>
      <c r="O38" s="308"/>
      <c r="P38" s="308">
        <v>0.91056420000000005</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2.7406000000000002E-3</v>
      </c>
      <c r="E40" s="279"/>
      <c r="F40" s="316">
        <v>8.2850000000000007E-3</v>
      </c>
      <c r="G40" s="315"/>
      <c r="H40" s="316">
        <v>5.2900000000000004E-3</v>
      </c>
      <c r="I40" s="315"/>
      <c r="J40" s="316">
        <v>1.0485E-2</v>
      </c>
      <c r="K40" s="315"/>
      <c r="L40" s="316">
        <v>7.4900000000000001E-3</v>
      </c>
      <c r="M40" s="315"/>
      <c r="N40" s="316">
        <v>1.6084999999999999E-2</v>
      </c>
      <c r="O40" s="315"/>
      <c r="P40" s="316">
        <v>1.3089999999999999E-2</v>
      </c>
      <c r="Q40" s="315"/>
      <c r="R40" s="316"/>
      <c r="S40" s="281"/>
      <c r="T40" s="287"/>
      <c r="U40" s="282"/>
      <c r="V40" s="5"/>
    </row>
    <row r="41" spans="1:22" x14ac:dyDescent="0.35">
      <c r="A41" s="278"/>
      <c r="B41" s="279" t="s">
        <v>13</v>
      </c>
      <c r="C41" s="279"/>
      <c r="D41" s="316">
        <v>2.892E-3</v>
      </c>
      <c r="E41" s="279"/>
      <c r="F41" s="316">
        <v>8.2687999999999998E-3</v>
      </c>
      <c r="G41" s="315"/>
      <c r="H41" s="316">
        <v>5.2300000000000003E-3</v>
      </c>
      <c r="I41" s="315"/>
      <c r="J41" s="316">
        <v>1.04688E-2</v>
      </c>
      <c r="K41" s="315"/>
      <c r="L41" s="316">
        <v>7.43E-3</v>
      </c>
      <c r="M41" s="315"/>
      <c r="N41" s="316">
        <v>1.6068800000000001E-2</v>
      </c>
      <c r="O41" s="315"/>
      <c r="P41" s="316">
        <v>1.303E-2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6.2405999999999998E-3</v>
      </c>
      <c r="E43" s="279"/>
      <c r="F43" s="316">
        <f>+F40</f>
        <v>8.2850000000000007E-3</v>
      </c>
      <c r="G43" s="315"/>
      <c r="H43" s="316">
        <v>8.7349999999999997E-3</v>
      </c>
      <c r="I43" s="315"/>
      <c r="J43" s="316">
        <f>+J40</f>
        <v>1.0485E-2</v>
      </c>
      <c r="K43" s="315"/>
      <c r="L43" s="316">
        <v>1.1214999999999999E-2</v>
      </c>
      <c r="M43" s="315"/>
      <c r="N43" s="316">
        <f>+N40</f>
        <v>1.6084999999999999E-2</v>
      </c>
      <c r="O43" s="315"/>
      <c r="P43" s="316">
        <v>1.7315000000000001E-2</v>
      </c>
      <c r="Q43" s="287"/>
      <c r="R43" s="287"/>
      <c r="S43" s="281"/>
      <c r="T43" s="315">
        <f>SUMPRODUCT(D43:P43,D35:P35)/T35</f>
        <v>9.3602968725657668E-3</v>
      </c>
      <c r="U43" s="282"/>
      <c r="V43" s="5"/>
    </row>
    <row r="44" spans="1:22" x14ac:dyDescent="0.35">
      <c r="A44" s="278"/>
      <c r="B44" s="279" t="s">
        <v>301</v>
      </c>
      <c r="C44" s="317"/>
      <c r="D44" s="316">
        <v>6.2243999999999997E-3</v>
      </c>
      <c r="E44" s="279"/>
      <c r="F44" s="316">
        <f>+F41</f>
        <v>8.2687999999999998E-3</v>
      </c>
      <c r="G44" s="315"/>
      <c r="H44" s="316">
        <v>8.7188000000000005E-3</v>
      </c>
      <c r="I44" s="315"/>
      <c r="J44" s="316">
        <f>+J41</f>
        <v>1.04688E-2</v>
      </c>
      <c r="K44" s="315"/>
      <c r="L44" s="316">
        <v>1.11988E-2</v>
      </c>
      <c r="M44" s="315"/>
      <c r="N44" s="316">
        <f>+N41</f>
        <v>1.6068800000000001E-2</v>
      </c>
      <c r="O44" s="315"/>
      <c r="P44" s="316">
        <v>1.72988E-2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0.29701751513880142</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41533</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94</v>
      </c>
      <c r="Q57" s="279"/>
      <c r="R57" s="327">
        <v>41348</v>
      </c>
      <c r="S57" s="328"/>
      <c r="T57" s="327">
        <v>41441</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41442</v>
      </c>
      <c r="S58" s="328"/>
      <c r="T58" s="327">
        <v>41532</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41519</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332</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454315</v>
      </c>
      <c r="M68" s="332"/>
      <c r="N68" s="332">
        <f>2213+163</f>
        <v>2376</v>
      </c>
      <c r="O68" s="332"/>
      <c r="P68" s="332">
        <v>163</v>
      </c>
      <c r="Q68" s="332"/>
      <c r="R68" s="332">
        <v>0</v>
      </c>
      <c r="S68" s="332"/>
      <c r="T68" s="333">
        <f>+L68-N68+P68-R68</f>
        <v>452102</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454315</v>
      </c>
      <c r="M71" s="332"/>
      <c r="N71" s="332">
        <f>SUM(N68:N70)</f>
        <v>2376</v>
      </c>
      <c r="O71" s="332"/>
      <c r="P71" s="332">
        <f>SUM(P68:P70)</f>
        <v>163</v>
      </c>
      <c r="Q71" s="332"/>
      <c r="R71" s="332">
        <f>SUM(R68:R70)</f>
        <v>0</v>
      </c>
      <c r="S71" s="332"/>
      <c r="T71" s="332">
        <f>SUM(T68:T70)</f>
        <v>452102</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454315</v>
      </c>
      <c r="M84" s="332"/>
      <c r="N84" s="332"/>
      <c r="O84" s="332"/>
      <c r="P84" s="332"/>
      <c r="Q84" s="332"/>
      <c r="R84" s="332"/>
      <c r="S84" s="332"/>
      <c r="T84" s="332">
        <f>SUM(T71:T83)</f>
        <v>452102</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41516</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2376+182</f>
        <v>2558</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2160+1228-425-489</f>
        <v>2474</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4+2</f>
        <v>6</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23</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290</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2558</v>
      </c>
      <c r="S96" s="279"/>
      <c r="T96" s="332">
        <f>SUM(T88:T95)</f>
        <v>2793</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-3</v>
      </c>
      <c r="S97" s="279"/>
      <c r="T97" s="332">
        <v>3</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-92</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2555</v>
      </c>
      <c r="S100" s="279"/>
      <c r="T100" s="332">
        <f>T96+T98+T97+T99</f>
        <v>2704</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-175-181-6</f>
        <v>-362</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-692+217</f>
        <v>-475</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f>-217</f>
        <v>-217</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-74</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-73</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-188</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-9</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-182</v>
      </c>
      <c r="S115" s="279"/>
      <c r="T115" s="333">
        <v>182</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-174</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-1278</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-130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-30</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-1706</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-138</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-58</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-228</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-83</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-2373</v>
      </c>
      <c r="S132" s="332"/>
      <c r="T132" s="332">
        <f>SUM(T101:T130)</f>
        <v>-2704</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AUGUST 2013</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2300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267</v>
      </c>
      <c r="C155" s="279"/>
      <c r="D155" s="279"/>
      <c r="E155" s="279"/>
      <c r="F155" s="279"/>
      <c r="G155" s="279"/>
      <c r="H155" s="279"/>
      <c r="I155" s="279"/>
      <c r="J155" s="279"/>
      <c r="K155" s="279"/>
      <c r="L155" s="279"/>
      <c r="M155" s="279"/>
      <c r="N155" s="279"/>
      <c r="O155" s="279"/>
      <c r="P155" s="279"/>
      <c r="Q155" s="279"/>
      <c r="R155" s="279"/>
      <c r="S155" s="279"/>
      <c r="T155" s="333">
        <v>2300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-182</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-182</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182</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92</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452102</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452102</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+'May 13'!Q183</f>
        <v>43702</v>
      </c>
      <c r="R181" s="333">
        <f>+'May 13'!R183</f>
        <v>5995</v>
      </c>
      <c r="S181" s="279"/>
      <c r="T181" s="333">
        <f>Q181+R181</f>
        <v>49697</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30</v>
      </c>
      <c r="R182" s="332">
        <v>0</v>
      </c>
      <c r="S182" s="279"/>
      <c r="T182" s="333">
        <f>Q182+R182</f>
        <v>30</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43732</v>
      </c>
      <c r="R183" s="333">
        <f>R182+R181</f>
        <v>5995</v>
      </c>
      <c r="S183" s="279"/>
      <c r="T183" s="333">
        <f>Q183+R183</f>
        <v>49727</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110329.48000000001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3.3800578034682083</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1.63</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15.392523364485982</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8.4600000000000009</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5.9003831417624522</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4.1900000000000004</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AUGUST 2013</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41516</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2.2280000000000001E-2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9.3602968725657668E-3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1.2919703127434234E-2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5.9518175715087551E-3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14.01</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5.2298515347281071E-3</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0.1033</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49</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104</v>
      </c>
      <c r="R217" s="358">
        <f>+R269</f>
        <v>16650</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-182</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'May 13'!R223+R222</f>
        <v>5028</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0</v>
      </c>
      <c r="R229" s="358">
        <v>0</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3334</v>
      </c>
      <c r="Q236" s="378">
        <f t="shared" ref="Q236:Q243" si="2">P236/$P$245</f>
        <v>0.99552105106001787</v>
      </c>
      <c r="R236" s="237">
        <f t="shared" ref="R236:R243" si="3">+R248+R260+R272</f>
        <v>450186</v>
      </c>
      <c r="S236" s="378">
        <f t="shared" ref="S236:S243" si="4">R236/$R$245</f>
        <v>0.99576201830560362</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6</v>
      </c>
      <c r="Q237" s="378">
        <f t="shared" si="2"/>
        <v>1.7915795759928337E-3</v>
      </c>
      <c r="R237" s="333">
        <f t="shared" si="3"/>
        <v>686</v>
      </c>
      <c r="S237" s="378">
        <f t="shared" si="4"/>
        <v>1.5173567026909856E-3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2.9859659599880563E-4</v>
      </c>
      <c r="R238" s="333">
        <f t="shared" si="3"/>
        <v>218</v>
      </c>
      <c r="S238" s="378">
        <f t="shared" si="4"/>
        <v>4.8219207170063392E-4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5.9719319199761126E-4</v>
      </c>
      <c r="R240" s="333">
        <f t="shared" si="3"/>
        <v>208</v>
      </c>
      <c r="S240" s="378">
        <f t="shared" si="4"/>
        <v>4.6007316932904522E-4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2</v>
      </c>
      <c r="Q241" s="378">
        <f t="shared" si="2"/>
        <v>5.9719319199761126E-4</v>
      </c>
      <c r="R241" s="333">
        <f t="shared" si="3"/>
        <v>261</v>
      </c>
      <c r="S241" s="378">
        <f t="shared" si="4"/>
        <v>5.7730335189846538E-4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3</v>
      </c>
      <c r="Q242" s="378">
        <f t="shared" si="2"/>
        <v>8.9578978799641684E-4</v>
      </c>
      <c r="R242" s="333">
        <f t="shared" si="3"/>
        <v>406</v>
      </c>
      <c r="S242" s="378">
        <f t="shared" si="4"/>
        <v>8.9802743628650174E-4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2.9859659599880563E-4</v>
      </c>
      <c r="R243" s="333">
        <f t="shared" si="3"/>
        <v>137</v>
      </c>
      <c r="S243" s="383">
        <f t="shared" si="4"/>
        <v>3.0302896249076536E-4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3349</v>
      </c>
      <c r="Q245" s="378">
        <f>SUM(Q236:Q244)</f>
        <v>1</v>
      </c>
      <c r="R245" s="333">
        <f>SUM(R236:R244)</f>
        <v>452102</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3240</v>
      </c>
      <c r="Q248" s="244">
        <f t="shared" ref="Q248:Q255" si="5">P248/$P$257</f>
        <v>0.99845916795069334</v>
      </c>
      <c r="R248" s="237">
        <v>434964</v>
      </c>
      <c r="S248" s="244">
        <f t="shared" ref="S248:S255" si="6">R248/$R$257</f>
        <v>0.99887932539062863</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3</v>
      </c>
      <c r="Q249" s="378">
        <f t="shared" si="5"/>
        <v>9.2449922958397538E-4</v>
      </c>
      <c r="R249" s="333">
        <v>358</v>
      </c>
      <c r="S249" s="378">
        <f t="shared" si="6"/>
        <v>8.2213424212083074E-4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1</v>
      </c>
      <c r="Q252" s="378">
        <f t="shared" si="5"/>
        <v>3.0816640986132513E-4</v>
      </c>
      <c r="R252" s="333">
        <v>81</v>
      </c>
      <c r="S252" s="378">
        <f t="shared" si="6"/>
        <v>1.8601361344074661E-4</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1</v>
      </c>
      <c r="Q254" s="378">
        <f t="shared" si="5"/>
        <v>3.0816640986132513E-4</v>
      </c>
      <c r="R254" s="333">
        <v>49</v>
      </c>
      <c r="S254" s="378">
        <f t="shared" si="6"/>
        <v>1.1252675380983438E-4</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3245</v>
      </c>
      <c r="Q257" s="378">
        <f>SUM(Q248:Q256)</f>
        <v>0.99999999999999989</v>
      </c>
      <c r="R257" s="333">
        <f>SUM(R248:R256)</f>
        <v>435452</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94</v>
      </c>
      <c r="Q260" s="244">
        <f t="shared" ref="Q260:Q267" si="7">P260/$P$269</f>
        <v>0.90384615384615385</v>
      </c>
      <c r="R260" s="237">
        <v>15222</v>
      </c>
      <c r="S260" s="244">
        <f t="shared" ref="S260:S267" si="8">R260/$R$269</f>
        <v>0.91423423423423422</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3</v>
      </c>
      <c r="Q261" s="378">
        <f t="shared" si="7"/>
        <v>2.8846153846153848E-2</v>
      </c>
      <c r="R261" s="333">
        <v>328</v>
      </c>
      <c r="S261" s="378">
        <f t="shared" si="8"/>
        <v>1.9699699699699699E-2</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1</v>
      </c>
      <c r="Q262" s="378">
        <f t="shared" si="7"/>
        <v>9.6153846153846159E-3</v>
      </c>
      <c r="R262" s="333">
        <v>218</v>
      </c>
      <c r="S262" s="378">
        <f t="shared" si="8"/>
        <v>1.3093093093093092E-2</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9.6153846153846159E-3</v>
      </c>
      <c r="R264" s="333">
        <v>127</v>
      </c>
      <c r="S264" s="378">
        <f t="shared" si="8"/>
        <v>7.6276276276276275E-3</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2</v>
      </c>
      <c r="Q265" s="378">
        <f t="shared" si="7"/>
        <v>1.9230769230769232E-2</v>
      </c>
      <c r="R265" s="333">
        <v>261</v>
      </c>
      <c r="S265" s="378">
        <f t="shared" si="8"/>
        <v>1.5675675675675675E-2</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2</v>
      </c>
      <c r="Q266" s="378">
        <f t="shared" si="7"/>
        <v>1.9230769230769232E-2</v>
      </c>
      <c r="R266" s="333">
        <v>357</v>
      </c>
      <c r="S266" s="378">
        <f t="shared" si="8"/>
        <v>2.1441441441441441E-2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9.6153846153846159E-3</v>
      </c>
      <c r="R267" s="333">
        <v>137</v>
      </c>
      <c r="S267" s="378">
        <f t="shared" si="8"/>
        <v>8.2282282282282286E-3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104</v>
      </c>
      <c r="Q269" s="378">
        <f>SUM(Q260:Q268)</f>
        <v>1</v>
      </c>
      <c r="R269" s="333">
        <f>SUM(R260:R268)</f>
        <v>16650</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3349</v>
      </c>
      <c r="Q283" s="378"/>
      <c r="R283" s="382">
        <f>+R281+R269+R257</f>
        <v>452102</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AUGUST 2013</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1E00-000000000000}"/>
    <hyperlink ref="N233" r:id="rId2" xr:uid="{00000000-0004-0000-1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0.66579999999999995</v>
      </c>
      <c r="R16" s="222" t="s">
        <v>147</v>
      </c>
      <c r="S16" s="221">
        <v>0.3342</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41628</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163093.15</v>
      </c>
      <c r="E32" s="289"/>
      <c r="F32" s="290">
        <f>F31*F38</f>
        <v>105000</v>
      </c>
      <c r="G32" s="290"/>
      <c r="H32" s="295">
        <f>H31*H38</f>
        <v>222000</v>
      </c>
      <c r="I32" s="290"/>
      <c r="J32" s="290">
        <f>J31*J38</f>
        <v>28089.980399999997</v>
      </c>
      <c r="K32" s="290"/>
      <c r="L32" s="295">
        <f>L31*L38</f>
        <v>17669.503799999999</v>
      </c>
      <c r="M32" s="290"/>
      <c r="N32" s="296">
        <f>N31*N38</f>
        <v>46665.6126</v>
      </c>
      <c r="O32" s="290"/>
      <c r="P32" s="295">
        <f>P31*P38</f>
        <v>24918.530999999999</v>
      </c>
      <c r="Q32" s="290"/>
      <c r="R32" s="290"/>
      <c r="S32" s="291"/>
      <c r="T32" s="290"/>
      <c r="U32" s="292"/>
      <c r="V32" s="5"/>
    </row>
    <row r="33" spans="1:22" x14ac:dyDescent="0.35">
      <c r="A33" s="278"/>
      <c r="B33" s="286" t="s">
        <v>141</v>
      </c>
      <c r="C33" s="289"/>
      <c r="D33" s="299">
        <f>D37*D31</f>
        <v>157060.19999999998</v>
      </c>
      <c r="E33" s="293"/>
      <c r="F33" s="297">
        <f>F37*F31</f>
        <v>105000</v>
      </c>
      <c r="G33" s="297"/>
      <c r="H33" s="300">
        <f>H31*H37</f>
        <v>222000</v>
      </c>
      <c r="I33" s="297"/>
      <c r="J33" s="297">
        <f>J31*J37</f>
        <v>27811.054800000002</v>
      </c>
      <c r="K33" s="297"/>
      <c r="L33" s="300">
        <f>L31*L37</f>
        <v>17494.050599999999</v>
      </c>
      <c r="M33" s="297"/>
      <c r="N33" s="297">
        <f>N31*N37</f>
        <v>46202.236199999999</v>
      </c>
      <c r="O33" s="297"/>
      <c r="P33" s="300">
        <f>P31*P37</f>
        <v>24671.097000000002</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93570.395084000003</v>
      </c>
      <c r="E35" s="289"/>
      <c r="F35" s="290">
        <f>F34*F38</f>
        <v>105000</v>
      </c>
      <c r="G35" s="290"/>
      <c r="H35" s="290">
        <f>H34*H38</f>
        <v>150000</v>
      </c>
      <c r="I35" s="290"/>
      <c r="J35" s="290">
        <f>J32</f>
        <v>28089.980399999997</v>
      </c>
      <c r="K35" s="290"/>
      <c r="L35" s="290">
        <f>L34*L38</f>
        <v>11939.147798399999</v>
      </c>
      <c r="M35" s="290"/>
      <c r="N35" s="290">
        <f>N32</f>
        <v>46665.6126</v>
      </c>
      <c r="O35" s="290"/>
      <c r="P35" s="290">
        <f>P34*P38</f>
        <v>16836.771800399998</v>
      </c>
      <c r="Q35" s="290"/>
      <c r="R35" s="290"/>
      <c r="S35" s="291"/>
      <c r="T35" s="290">
        <f>SUM(C35:P35)</f>
        <v>452101.90768280003</v>
      </c>
      <c r="U35" s="292"/>
      <c r="V35" s="5"/>
    </row>
    <row r="36" spans="1:22" x14ac:dyDescent="0.35">
      <c r="A36" s="283"/>
      <c r="B36" s="286" t="s">
        <v>298</v>
      </c>
      <c r="C36" s="293"/>
      <c r="D36" s="297">
        <f>D37*D34</f>
        <v>90109.149072</v>
      </c>
      <c r="E36" s="293"/>
      <c r="F36" s="297">
        <f>F37*F34</f>
        <v>105000</v>
      </c>
      <c r="G36" s="297"/>
      <c r="H36" s="297">
        <f>H37*H34</f>
        <v>150000</v>
      </c>
      <c r="I36" s="297"/>
      <c r="J36" s="297">
        <f>J37*J34</f>
        <v>27811.054800000002</v>
      </c>
      <c r="K36" s="297"/>
      <c r="L36" s="297">
        <f>L37*L34</f>
        <v>11820.5954208</v>
      </c>
      <c r="M36" s="297"/>
      <c r="N36" s="297">
        <f>N37*N34</f>
        <v>46202.236199999999</v>
      </c>
      <c r="O36" s="297"/>
      <c r="P36" s="297">
        <f>P34*P37</f>
        <v>16669.587394800001</v>
      </c>
      <c r="Q36" s="322"/>
      <c r="R36" s="322"/>
      <c r="S36" s="291"/>
      <c r="T36" s="297">
        <f>SUM(C36:P36)</f>
        <v>447612.62288759992</v>
      </c>
      <c r="U36" s="292"/>
      <c r="V36" s="5"/>
    </row>
    <row r="37" spans="1:22" x14ac:dyDescent="0.35">
      <c r="A37" s="305"/>
      <c r="B37" s="306" t="s">
        <v>137</v>
      </c>
      <c r="C37" s="307"/>
      <c r="D37" s="308">
        <v>0.14278199999999999</v>
      </c>
      <c r="E37" s="309"/>
      <c r="F37" s="308">
        <v>1</v>
      </c>
      <c r="G37" s="308"/>
      <c r="H37" s="308">
        <v>1</v>
      </c>
      <c r="I37" s="308"/>
      <c r="J37" s="308">
        <v>0.89713080000000001</v>
      </c>
      <c r="K37" s="308"/>
      <c r="L37" s="308">
        <v>0.89713080000000001</v>
      </c>
      <c r="M37" s="308"/>
      <c r="N37" s="308">
        <v>0.89713080000000001</v>
      </c>
      <c r="O37" s="308"/>
      <c r="P37" s="308">
        <v>0.89713080000000001</v>
      </c>
      <c r="Q37" s="310"/>
      <c r="R37" s="310"/>
      <c r="S37" s="311"/>
      <c r="T37" s="311"/>
      <c r="U37" s="312"/>
      <c r="V37" s="5"/>
    </row>
    <row r="38" spans="1:22" x14ac:dyDescent="0.35">
      <c r="A38" s="305"/>
      <c r="B38" s="306" t="s">
        <v>138</v>
      </c>
      <c r="C38" s="307"/>
      <c r="D38" s="308">
        <v>0.1482665</v>
      </c>
      <c r="E38" s="309"/>
      <c r="F38" s="308">
        <v>1</v>
      </c>
      <c r="G38" s="308"/>
      <c r="H38" s="308">
        <v>1</v>
      </c>
      <c r="I38" s="308"/>
      <c r="J38" s="308">
        <v>0.90612839999999995</v>
      </c>
      <c r="K38" s="308"/>
      <c r="L38" s="308">
        <v>0.90612839999999995</v>
      </c>
      <c r="M38" s="308"/>
      <c r="N38" s="308">
        <v>0.90612839999999995</v>
      </c>
      <c r="O38" s="308"/>
      <c r="P38" s="308">
        <v>0.90612839999999995</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2.5769999999999999E-3</v>
      </c>
      <c r="E40" s="279"/>
      <c r="F40" s="316">
        <v>8.3738000000000007E-3</v>
      </c>
      <c r="G40" s="315"/>
      <c r="H40" s="316">
        <v>5.4400000000000004E-3</v>
      </c>
      <c r="I40" s="315"/>
      <c r="J40" s="316">
        <v>1.05738E-2</v>
      </c>
      <c r="K40" s="315"/>
      <c r="L40" s="316">
        <v>7.6400000000000001E-3</v>
      </c>
      <c r="M40" s="315"/>
      <c r="N40" s="316">
        <v>1.6173799999999999E-2</v>
      </c>
      <c r="O40" s="315"/>
      <c r="P40" s="316">
        <v>1.324E-2</v>
      </c>
      <c r="Q40" s="315"/>
      <c r="R40" s="316"/>
      <c r="S40" s="281"/>
      <c r="T40" s="287"/>
      <c r="U40" s="282"/>
      <c r="V40" s="5"/>
    </row>
    <row r="41" spans="1:22" x14ac:dyDescent="0.35">
      <c r="A41" s="278"/>
      <c r="B41" s="279" t="s">
        <v>13</v>
      </c>
      <c r="C41" s="279"/>
      <c r="D41" s="316">
        <v>2.7406000000000002E-3</v>
      </c>
      <c r="E41" s="279"/>
      <c r="F41" s="316">
        <v>8.2850000000000007E-3</v>
      </c>
      <c r="G41" s="315"/>
      <c r="H41" s="316">
        <v>5.2900000000000004E-3</v>
      </c>
      <c r="I41" s="315"/>
      <c r="J41" s="316">
        <v>1.0485E-2</v>
      </c>
      <c r="K41" s="315"/>
      <c r="L41" s="316">
        <v>7.4900000000000001E-3</v>
      </c>
      <c r="M41" s="315"/>
      <c r="N41" s="316">
        <v>1.6084999999999999E-2</v>
      </c>
      <c r="O41" s="315"/>
      <c r="P41" s="316">
        <v>1.3089999999999999E-2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6.3293999999999998E-3</v>
      </c>
      <c r="E43" s="279"/>
      <c r="F43" s="316">
        <f>+F40</f>
        <v>8.3738000000000007E-3</v>
      </c>
      <c r="G43" s="315"/>
      <c r="H43" s="316">
        <v>8.8237999999999997E-3</v>
      </c>
      <c r="I43" s="315"/>
      <c r="J43" s="316">
        <f>+J40</f>
        <v>1.05738E-2</v>
      </c>
      <c r="K43" s="315"/>
      <c r="L43" s="316">
        <v>1.1303799999999999E-2</v>
      </c>
      <c r="M43" s="315"/>
      <c r="N43" s="316">
        <f>+N40</f>
        <v>1.6173799999999999E-2</v>
      </c>
      <c r="O43" s="315"/>
      <c r="P43" s="316">
        <v>1.7403800000000001E-2</v>
      </c>
      <c r="Q43" s="287"/>
      <c r="R43" s="287"/>
      <c r="S43" s="281"/>
      <c r="T43" s="315">
        <f>SUMPRODUCT(D43:P43,D35:P35)/T35</f>
        <v>9.4554414696491184E-3</v>
      </c>
      <c r="U43" s="282"/>
      <c r="V43" s="5"/>
    </row>
    <row r="44" spans="1:22" x14ac:dyDescent="0.35">
      <c r="A44" s="278"/>
      <c r="B44" s="279" t="s">
        <v>301</v>
      </c>
      <c r="C44" s="317"/>
      <c r="D44" s="316">
        <v>6.2405999999999998E-3</v>
      </c>
      <c r="E44" s="279"/>
      <c r="F44" s="316">
        <f>+F41</f>
        <v>8.2850000000000007E-3</v>
      </c>
      <c r="G44" s="315"/>
      <c r="H44" s="316">
        <v>8.7349999999999997E-3</v>
      </c>
      <c r="I44" s="315"/>
      <c r="J44" s="316">
        <f>+J41</f>
        <v>1.0485E-2</v>
      </c>
      <c r="K44" s="315"/>
      <c r="L44" s="316">
        <v>1.1214999999999999E-2</v>
      </c>
      <c r="M44" s="315"/>
      <c r="N44" s="316">
        <f>+N41</f>
        <v>1.6084999999999999E-2</v>
      </c>
      <c r="O44" s="315"/>
      <c r="P44" s="316">
        <v>1.7315000000000001E-2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0.29701754963967864</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41624</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41442</v>
      </c>
      <c r="S57" s="328"/>
      <c r="T57" s="327">
        <v>41532</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41533</v>
      </c>
      <c r="S58" s="328"/>
      <c r="T58" s="327">
        <v>41623</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41610</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333</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452102</v>
      </c>
      <c r="M68" s="332"/>
      <c r="N68" s="332">
        <f>4489+8+122</f>
        <v>4619</v>
      </c>
      <c r="O68" s="332"/>
      <c r="P68" s="332">
        <f>8+122</f>
        <v>130</v>
      </c>
      <c r="Q68" s="332"/>
      <c r="R68" s="332">
        <v>0</v>
      </c>
      <c r="S68" s="332"/>
      <c r="T68" s="333">
        <f>+L68-N68+P68-R68</f>
        <v>447613</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452102</v>
      </c>
      <c r="M71" s="332"/>
      <c r="N71" s="332">
        <f>SUM(N68:N70)</f>
        <v>4619</v>
      </c>
      <c r="O71" s="332"/>
      <c r="P71" s="332">
        <f>SUM(P68:P70)</f>
        <v>130</v>
      </c>
      <c r="Q71" s="332"/>
      <c r="R71" s="332">
        <f>SUM(R68:R70)</f>
        <v>0</v>
      </c>
      <c r="S71" s="332"/>
      <c r="T71" s="332">
        <f>SUM(T68:T70)</f>
        <v>447613</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452102</v>
      </c>
      <c r="M84" s="332"/>
      <c r="N84" s="332"/>
      <c r="O84" s="332"/>
      <c r="P84" s="332"/>
      <c r="Q84" s="332"/>
      <c r="R84" s="332"/>
      <c r="S84" s="332"/>
      <c r="T84" s="332">
        <f>SUM(T71:T83)</f>
        <v>447613</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41607</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4619-101</f>
        <v>4518</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2158+1391-439-276</f>
        <v>2834</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37+17</f>
        <v>54</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25</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241</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4518</v>
      </c>
      <c r="S96" s="279"/>
      <c r="T96" s="332">
        <f>SUM(T88:T95)</f>
        <v>3154</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-1</v>
      </c>
      <c r="S97" s="279"/>
      <c r="T97" s="332">
        <v>1</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68</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4517</v>
      </c>
      <c r="S100" s="279"/>
      <c r="T100" s="332">
        <f>T96+T98+T97+T99</f>
        <v>3223</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-172-198-6</f>
        <v>-376</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-697+219</f>
        <v>-478</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-219</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-75</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-73</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-188</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101</v>
      </c>
      <c r="S115" s="279"/>
      <c r="T115" s="333">
        <v>-101</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-172</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-1498</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-121</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-8</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-3461</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-279</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-119</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-463</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-167</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-4618</v>
      </c>
      <c r="S132" s="332"/>
      <c r="T132" s="332">
        <f>SUM(T101:T130)</f>
        <v>-3223</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NOVEMBER 2013</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2300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267</v>
      </c>
      <c r="C155" s="279"/>
      <c r="D155" s="279"/>
      <c r="E155" s="279"/>
      <c r="F155" s="279"/>
      <c r="G155" s="279"/>
      <c r="H155" s="279"/>
      <c r="I155" s="279"/>
      <c r="J155" s="279"/>
      <c r="K155" s="279"/>
      <c r="L155" s="279"/>
      <c r="M155" s="279"/>
      <c r="N155" s="279"/>
      <c r="O155" s="279"/>
      <c r="P155" s="279"/>
      <c r="Q155" s="279"/>
      <c r="R155" s="279"/>
      <c r="S155" s="279"/>
      <c r="T155" s="333">
        <v>2300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101</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101</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-101</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447613</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447613</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+'Aug 13'!Q183</f>
        <v>43732</v>
      </c>
      <c r="R181" s="333">
        <f>+'Aug 13'!R183</f>
        <v>5995</v>
      </c>
      <c r="S181" s="279"/>
      <c r="T181" s="333">
        <f>Q181+R181</f>
        <v>49727</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8</v>
      </c>
      <c r="R182" s="332">
        <v>0</v>
      </c>
      <c r="S182" s="279"/>
      <c r="T182" s="333">
        <f>Q182+R182</f>
        <v>8</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43740</v>
      </c>
      <c r="R183" s="333">
        <f>R182+R181</f>
        <v>5995</v>
      </c>
      <c r="S183" s="279"/>
      <c r="T183" s="333">
        <f>Q183+R183</f>
        <v>49735</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110321.48000000001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4.080344332855093</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1.64</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19.87962962962963</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8.57</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7.8122605363984672</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4.24</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NOVEMBER 2013</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41607</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2.231E-2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9.4554414696491184E-3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1.2854558530350882E-2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7.1289222343630422E-3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13.78</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1.0216721005436826E-2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0.1014</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49</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98</v>
      </c>
      <c r="R217" s="358">
        <f>+R269</f>
        <v>15905</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101</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'Aug 13'!R223+R222</f>
        <v>5129</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5</v>
      </c>
      <c r="R229" s="358">
        <v>570</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3307</v>
      </c>
      <c r="Q236" s="378">
        <f t="shared" ref="Q236:Q243" si="2">P236/$P$245</f>
        <v>0.99488567990373045</v>
      </c>
      <c r="R236" s="237">
        <f t="shared" ref="R236:R243" si="3">+R248+R260+R272</f>
        <v>445383</v>
      </c>
      <c r="S236" s="378">
        <f t="shared" ref="S236:S243" si="4">R236/$R$245</f>
        <v>0.99501801779662347</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7</v>
      </c>
      <c r="Q237" s="378">
        <f t="shared" si="2"/>
        <v>2.1058965102286401E-3</v>
      </c>
      <c r="R237" s="333">
        <f t="shared" si="3"/>
        <v>943</v>
      </c>
      <c r="S237" s="378">
        <f t="shared" si="4"/>
        <v>2.1067305909345797E-3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0</v>
      </c>
      <c r="Q238" s="378">
        <f t="shared" si="2"/>
        <v>0</v>
      </c>
      <c r="R238" s="333">
        <f t="shared" si="3"/>
        <v>0</v>
      </c>
      <c r="S238" s="378">
        <f t="shared" si="4"/>
        <v>0</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4</v>
      </c>
      <c r="Q239" s="378">
        <f t="shared" si="2"/>
        <v>1.2033694344163659E-3</v>
      </c>
      <c r="R239" s="333">
        <f t="shared" si="3"/>
        <v>581</v>
      </c>
      <c r="S239" s="378">
        <f t="shared" si="4"/>
        <v>1.2979962601622384E-3</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6.0168471720818293E-4</v>
      </c>
      <c r="R240" s="333">
        <f t="shared" si="3"/>
        <v>244</v>
      </c>
      <c r="S240" s="378">
        <f t="shared" si="4"/>
        <v>5.4511374781340133E-4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2</v>
      </c>
      <c r="Q241" s="378">
        <f t="shared" si="2"/>
        <v>6.0168471720818293E-4</v>
      </c>
      <c r="R241" s="333">
        <f t="shared" si="3"/>
        <v>276</v>
      </c>
      <c r="S241" s="378">
        <f t="shared" si="4"/>
        <v>6.1660407539548671E-4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3.0084235860409147E-4</v>
      </c>
      <c r="R242" s="333">
        <f t="shared" si="3"/>
        <v>49</v>
      </c>
      <c r="S242" s="378">
        <f t="shared" si="4"/>
        <v>1.094695641100683E-4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3.0084235860409147E-4</v>
      </c>
      <c r="R243" s="333">
        <f t="shared" si="3"/>
        <v>137</v>
      </c>
      <c r="S243" s="383">
        <f t="shared" si="4"/>
        <v>3.0606796496080319E-4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3324</v>
      </c>
      <c r="Q245" s="378">
        <f>SUM(Q236:Q244)</f>
        <v>1</v>
      </c>
      <c r="R245" s="333">
        <f>SUM(R236:R244)</f>
        <v>447613</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3218</v>
      </c>
      <c r="Q248" s="244">
        <f t="shared" ref="Q248:Q255" si="5">P248/$P$257</f>
        <v>0.99752014879107254</v>
      </c>
      <c r="R248" s="237">
        <v>430716</v>
      </c>
      <c r="S248" s="244">
        <f t="shared" ref="S248:S255" si="6">R248/$R$257</f>
        <v>0.99770215052767153</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7</v>
      </c>
      <c r="Q249" s="378">
        <f t="shared" si="5"/>
        <v>2.1698698078115313E-3</v>
      </c>
      <c r="R249" s="333">
        <v>943</v>
      </c>
      <c r="S249" s="378">
        <f t="shared" si="6"/>
        <v>2.1843468270219685E-3</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1</v>
      </c>
      <c r="Q254" s="378">
        <f t="shared" si="5"/>
        <v>3.0998140111593303E-4</v>
      </c>
      <c r="R254" s="333">
        <v>49</v>
      </c>
      <c r="S254" s="378">
        <f t="shared" si="6"/>
        <v>1.135026453065498E-4</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3226</v>
      </c>
      <c r="Q257" s="378">
        <f>SUM(Q248:Q256)</f>
        <v>1</v>
      </c>
      <c r="R257" s="333">
        <f>SUM(R248:R256)</f>
        <v>431708</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89</v>
      </c>
      <c r="Q260" s="244">
        <f t="shared" ref="Q260:Q267" si="7">P260/$P$269</f>
        <v>0.90816326530612246</v>
      </c>
      <c r="R260" s="237">
        <v>14667</v>
      </c>
      <c r="S260" s="244">
        <f t="shared" ref="S260:S267" si="8">R260/$R$269</f>
        <v>0.92216284187362463</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0</v>
      </c>
      <c r="Q261" s="378">
        <f t="shared" si="7"/>
        <v>0</v>
      </c>
      <c r="R261" s="333">
        <v>0</v>
      </c>
      <c r="S261" s="378">
        <f t="shared" si="8"/>
        <v>0</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4</v>
      </c>
      <c r="Q263" s="378">
        <f t="shared" si="7"/>
        <v>4.0816326530612242E-2</v>
      </c>
      <c r="R263" s="333">
        <v>581</v>
      </c>
      <c r="S263" s="378">
        <f t="shared" si="8"/>
        <v>3.6529393272555798E-2</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2.0408163265306121E-2</v>
      </c>
      <c r="R264" s="333">
        <v>244</v>
      </c>
      <c r="S264" s="378">
        <f t="shared" si="8"/>
        <v>1.534108770826784E-2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2</v>
      </c>
      <c r="Q265" s="378">
        <f t="shared" si="7"/>
        <v>2.0408163265306121E-2</v>
      </c>
      <c r="R265" s="333">
        <v>276</v>
      </c>
      <c r="S265" s="378">
        <f t="shared" si="8"/>
        <v>1.7353033637220999E-2</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1.020408163265306E-2</v>
      </c>
      <c r="R267" s="333">
        <v>137</v>
      </c>
      <c r="S267" s="378">
        <f t="shared" si="8"/>
        <v>8.6136435083307133E-3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98</v>
      </c>
      <c r="Q269" s="378">
        <f>SUM(Q260:Q268)</f>
        <v>1</v>
      </c>
      <c r="R269" s="333">
        <f>SUM(R260:R268)</f>
        <v>15905</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3324</v>
      </c>
      <c r="Q283" s="378"/>
      <c r="R283" s="382">
        <f>+R281+R269+R257</f>
        <v>447613</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NOVEMBER 2013</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1F00-000000000000}"/>
    <hyperlink ref="N233" r:id="rId2" xr:uid="{00000000-0004-0000-1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0.66769999999999996</v>
      </c>
      <c r="R16" s="222" t="s">
        <v>147</v>
      </c>
      <c r="S16" s="221">
        <v>0.33229999999999998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41722</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157060.19999999998</v>
      </c>
      <c r="E32" s="289"/>
      <c r="F32" s="290">
        <f>F31*F38</f>
        <v>105000</v>
      </c>
      <c r="G32" s="290"/>
      <c r="H32" s="295">
        <f>H31*H38</f>
        <v>222000</v>
      </c>
      <c r="I32" s="290"/>
      <c r="J32" s="290">
        <f>J31*J38</f>
        <v>27811.054800000002</v>
      </c>
      <c r="K32" s="290"/>
      <c r="L32" s="295">
        <f>L31*L38</f>
        <v>17494.050599999999</v>
      </c>
      <c r="M32" s="290"/>
      <c r="N32" s="296">
        <f>N31*N38</f>
        <v>46202.236199999999</v>
      </c>
      <c r="O32" s="290"/>
      <c r="P32" s="295">
        <f>P31*P38</f>
        <v>24671.097000000002</v>
      </c>
      <c r="Q32" s="290"/>
      <c r="R32" s="290"/>
      <c r="S32" s="291"/>
      <c r="T32" s="290"/>
      <c r="U32" s="292"/>
      <c r="V32" s="5"/>
    </row>
    <row r="33" spans="1:22" x14ac:dyDescent="0.35">
      <c r="A33" s="278"/>
      <c r="B33" s="286" t="s">
        <v>141</v>
      </c>
      <c r="C33" s="289"/>
      <c r="D33" s="299">
        <f>D37*D31</f>
        <v>152722.68000000002</v>
      </c>
      <c r="E33" s="293"/>
      <c r="F33" s="297">
        <f>F37*F31</f>
        <v>105000</v>
      </c>
      <c r="G33" s="297"/>
      <c r="H33" s="300">
        <f>H31*H37</f>
        <v>222000</v>
      </c>
      <c r="I33" s="297"/>
      <c r="J33" s="297">
        <f>J31*J37</f>
        <v>27610.515799999997</v>
      </c>
      <c r="K33" s="297"/>
      <c r="L33" s="300">
        <f>L31*L37</f>
        <v>17367.9051</v>
      </c>
      <c r="M33" s="297"/>
      <c r="N33" s="297">
        <f>N31*N37</f>
        <v>45869.082699999999</v>
      </c>
      <c r="O33" s="297"/>
      <c r="P33" s="300">
        <f>P31*P37</f>
        <v>24493.199499999999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90109.149072</v>
      </c>
      <c r="E35" s="289"/>
      <c r="F35" s="290">
        <f>F34*F38</f>
        <v>105000</v>
      </c>
      <c r="G35" s="290"/>
      <c r="H35" s="290">
        <f>H34*H38</f>
        <v>150000</v>
      </c>
      <c r="I35" s="290"/>
      <c r="J35" s="290">
        <f>J32</f>
        <v>27811.054800000002</v>
      </c>
      <c r="K35" s="290"/>
      <c r="L35" s="290">
        <f>L34*L38</f>
        <v>11820.5954208</v>
      </c>
      <c r="M35" s="290"/>
      <c r="N35" s="290">
        <f>N32</f>
        <v>46202.236199999999</v>
      </c>
      <c r="O35" s="290"/>
      <c r="P35" s="290">
        <f>P34*P38</f>
        <v>16669.587394800001</v>
      </c>
      <c r="Q35" s="290"/>
      <c r="R35" s="290"/>
      <c r="S35" s="291"/>
      <c r="T35" s="290">
        <f>SUM(C35:P35)</f>
        <v>447612.62288759992</v>
      </c>
      <c r="U35" s="292"/>
      <c r="V35" s="5"/>
    </row>
    <row r="36" spans="1:22" x14ac:dyDescent="0.35">
      <c r="A36" s="283"/>
      <c r="B36" s="286" t="s">
        <v>298</v>
      </c>
      <c r="C36" s="293"/>
      <c r="D36" s="297">
        <f>D37*D34</f>
        <v>87620.611324800004</v>
      </c>
      <c r="E36" s="293"/>
      <c r="F36" s="297">
        <f>F37*F34</f>
        <v>105000</v>
      </c>
      <c r="G36" s="297"/>
      <c r="H36" s="297">
        <f>H37*H34</f>
        <v>150000</v>
      </c>
      <c r="I36" s="297"/>
      <c r="J36" s="297">
        <f>J37*J34</f>
        <v>27610.515799999997</v>
      </c>
      <c r="K36" s="297"/>
      <c r="L36" s="297">
        <f>L37*L34</f>
        <v>11735.359876799999</v>
      </c>
      <c r="M36" s="297"/>
      <c r="N36" s="297">
        <f>N37*N34</f>
        <v>45869.082699999999</v>
      </c>
      <c r="O36" s="297"/>
      <c r="P36" s="297">
        <f>P34*P37</f>
        <v>16549.386905799998</v>
      </c>
      <c r="Q36" s="322"/>
      <c r="R36" s="322"/>
      <c r="S36" s="291"/>
      <c r="T36" s="297">
        <f>SUM(C36:P36)</f>
        <v>444384.95660739997</v>
      </c>
      <c r="U36" s="292"/>
      <c r="V36" s="5"/>
    </row>
    <row r="37" spans="1:22" x14ac:dyDescent="0.35">
      <c r="A37" s="305"/>
      <c r="B37" s="306" t="s">
        <v>137</v>
      </c>
      <c r="C37" s="307"/>
      <c r="D37" s="308">
        <v>0.13883880000000001</v>
      </c>
      <c r="E37" s="309"/>
      <c r="F37" s="308">
        <v>1</v>
      </c>
      <c r="G37" s="308"/>
      <c r="H37" s="308">
        <v>1</v>
      </c>
      <c r="I37" s="308"/>
      <c r="J37" s="308">
        <v>0.89066179999999995</v>
      </c>
      <c r="K37" s="308"/>
      <c r="L37" s="308">
        <v>0.89066179999999995</v>
      </c>
      <c r="M37" s="308"/>
      <c r="N37" s="308">
        <v>0.89066179999999995</v>
      </c>
      <c r="O37" s="308"/>
      <c r="P37" s="308">
        <v>0.89066179999999995</v>
      </c>
      <c r="Q37" s="310"/>
      <c r="R37" s="310"/>
      <c r="S37" s="311"/>
      <c r="T37" s="311"/>
      <c r="U37" s="312"/>
      <c r="V37" s="5"/>
    </row>
    <row r="38" spans="1:22" x14ac:dyDescent="0.35">
      <c r="A38" s="305"/>
      <c r="B38" s="306" t="s">
        <v>138</v>
      </c>
      <c r="C38" s="307"/>
      <c r="D38" s="308">
        <v>0.14278199999999999</v>
      </c>
      <c r="E38" s="309"/>
      <c r="F38" s="308">
        <v>1</v>
      </c>
      <c r="G38" s="308"/>
      <c r="H38" s="308">
        <v>1</v>
      </c>
      <c r="I38" s="308"/>
      <c r="J38" s="308">
        <v>0.89713080000000001</v>
      </c>
      <c r="K38" s="308"/>
      <c r="L38" s="308">
        <v>0.89713080000000001</v>
      </c>
      <c r="M38" s="308"/>
      <c r="N38" s="308">
        <v>0.89713080000000001</v>
      </c>
      <c r="O38" s="308"/>
      <c r="P38" s="308">
        <v>0.89713080000000001</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2.4450000000000001E-3</v>
      </c>
      <c r="E40" s="279"/>
      <c r="F40" s="316">
        <v>8.4519E-3</v>
      </c>
      <c r="G40" s="315"/>
      <c r="H40" s="316">
        <v>5.9699999999999996E-3</v>
      </c>
      <c r="I40" s="315"/>
      <c r="J40" s="316">
        <v>1.0651900000000001E-2</v>
      </c>
      <c r="K40" s="315"/>
      <c r="L40" s="316">
        <v>8.1700000000000002E-3</v>
      </c>
      <c r="M40" s="315"/>
      <c r="N40" s="316">
        <v>1.62519E-2</v>
      </c>
      <c r="O40" s="315"/>
      <c r="P40" s="316">
        <v>1.3769999999999999E-2</v>
      </c>
      <c r="Q40" s="315"/>
      <c r="R40" s="316"/>
      <c r="S40" s="281"/>
      <c r="T40" s="287"/>
      <c r="U40" s="282"/>
      <c r="V40" s="5"/>
    </row>
    <row r="41" spans="1:22" x14ac:dyDescent="0.35">
      <c r="A41" s="278"/>
      <c r="B41" s="279" t="s">
        <v>13</v>
      </c>
      <c r="C41" s="279"/>
      <c r="D41" s="316">
        <v>2.5769999999999999E-3</v>
      </c>
      <c r="E41" s="279"/>
      <c r="F41" s="316">
        <v>8.3738000000000007E-3</v>
      </c>
      <c r="G41" s="315"/>
      <c r="H41" s="316">
        <v>5.4400000000000004E-3</v>
      </c>
      <c r="I41" s="315"/>
      <c r="J41" s="316">
        <v>1.05738E-2</v>
      </c>
      <c r="K41" s="315"/>
      <c r="L41" s="316">
        <v>7.6400000000000001E-3</v>
      </c>
      <c r="M41" s="315"/>
      <c r="N41" s="316">
        <v>1.6173799999999999E-2</v>
      </c>
      <c r="O41" s="315"/>
      <c r="P41" s="316">
        <v>1.324E-2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6.4075E-3</v>
      </c>
      <c r="E43" s="279"/>
      <c r="F43" s="316">
        <f>+F40</f>
        <v>8.4519E-3</v>
      </c>
      <c r="G43" s="315"/>
      <c r="H43" s="316">
        <v>8.9019000000000008E-3</v>
      </c>
      <c r="I43" s="315"/>
      <c r="J43" s="316">
        <f>+J40</f>
        <v>1.0651900000000001E-2</v>
      </c>
      <c r="K43" s="315"/>
      <c r="L43" s="316">
        <v>1.13819E-2</v>
      </c>
      <c r="M43" s="315"/>
      <c r="N43" s="316">
        <f>+N40</f>
        <v>1.62519E-2</v>
      </c>
      <c r="O43" s="315"/>
      <c r="P43" s="316">
        <v>1.7481900000000002E-2</v>
      </c>
      <c r="Q43" s="287"/>
      <c r="R43" s="287"/>
      <c r="S43" s="281"/>
      <c r="T43" s="315">
        <f>SUMPRODUCT(D43:P43,D35:P35)/T35</f>
        <v>9.5466040191899085E-3</v>
      </c>
      <c r="U43" s="282"/>
      <c r="V43" s="5"/>
    </row>
    <row r="44" spans="1:22" x14ac:dyDescent="0.35">
      <c r="A44" s="278"/>
      <c r="B44" s="279" t="s">
        <v>301</v>
      </c>
      <c r="C44" s="317"/>
      <c r="D44" s="316">
        <v>6.3293999999999998E-3</v>
      </c>
      <c r="E44" s="279"/>
      <c r="F44" s="316">
        <f>+F41</f>
        <v>8.3738000000000007E-3</v>
      </c>
      <c r="G44" s="315"/>
      <c r="H44" s="316">
        <v>8.8237999999999997E-3</v>
      </c>
      <c r="I44" s="315"/>
      <c r="J44" s="316">
        <f>+J41</f>
        <v>1.05738E-2</v>
      </c>
      <c r="K44" s="315"/>
      <c r="L44" s="316">
        <v>1.1303799999999999E-2</v>
      </c>
      <c r="M44" s="315"/>
      <c r="N44" s="316">
        <f>+N41</f>
        <v>1.6173799999999999E-2</v>
      </c>
      <c r="O44" s="315"/>
      <c r="P44" s="316">
        <v>1.7403800000000001E-2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0.29701758130986666</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41715</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41533</v>
      </c>
      <c r="S57" s="328"/>
      <c r="T57" s="327">
        <v>41623</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41624</v>
      </c>
      <c r="S58" s="328"/>
      <c r="T58" s="327">
        <v>41714</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41701</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334</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447613</v>
      </c>
      <c r="M68" s="332"/>
      <c r="N68" s="332">
        <f>3228+280</f>
        <v>3508</v>
      </c>
      <c r="O68" s="332"/>
      <c r="P68" s="332">
        <v>280</v>
      </c>
      <c r="Q68" s="332"/>
      <c r="R68" s="332">
        <v>0</v>
      </c>
      <c r="S68" s="332"/>
      <c r="T68" s="333">
        <f>+L68-N68+P68-R68</f>
        <v>444385</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447613</v>
      </c>
      <c r="M71" s="332"/>
      <c r="N71" s="332">
        <f>SUM(N68:N70)</f>
        <v>3508</v>
      </c>
      <c r="O71" s="332"/>
      <c r="P71" s="332">
        <f>SUM(P68:P70)</f>
        <v>280</v>
      </c>
      <c r="Q71" s="332"/>
      <c r="R71" s="332">
        <f>SUM(R68:R70)</f>
        <v>0</v>
      </c>
      <c r="S71" s="332"/>
      <c r="T71" s="332">
        <f>SUM(T68:T70)</f>
        <v>444385</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447613</v>
      </c>
      <c r="M84" s="332"/>
      <c r="N84" s="332"/>
      <c r="O84" s="332"/>
      <c r="P84" s="332"/>
      <c r="Q84" s="332"/>
      <c r="R84" s="332"/>
      <c r="S84" s="332"/>
      <c r="T84" s="332">
        <f>SUM(T71:T83)</f>
        <v>444385</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41698</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3508-44</f>
        <v>3464</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1963+1242-307-332</f>
        <v>2566</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10+18</f>
        <v>28</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21</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273</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3464</v>
      </c>
      <c r="S96" s="279"/>
      <c r="T96" s="332">
        <f>SUM(T88:T95)</f>
        <v>2888</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-92</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3464</v>
      </c>
      <c r="S100" s="279"/>
      <c r="T100" s="332">
        <f>T96+T98+T97+T99</f>
        <v>2796</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-168-181-6</f>
        <v>-355</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-1</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-698+221</f>
        <v>-477</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-221</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-34</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-74</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-73</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-187</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44</v>
      </c>
      <c r="S115" s="279"/>
      <c r="T115" s="333">
        <v>-44</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-168</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-1153</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-280</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-2489</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-201</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-85</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-333</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-120</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-3508</v>
      </c>
      <c r="S132" s="332"/>
      <c r="T132" s="332">
        <f>SUM(T101:T130)</f>
        <v>-2796</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FEBRUARY 2014</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2300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44</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44</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-44</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92</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444385</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444385</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+'Nov 13'!Q183</f>
        <v>43740</v>
      </c>
      <c r="R181" s="333">
        <f>+'Nov 13'!R183</f>
        <v>5995</v>
      </c>
      <c r="S181" s="279"/>
      <c r="T181" s="333">
        <f>Q181+R181</f>
        <v>49735</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280</v>
      </c>
      <c r="R182" s="332">
        <v>0</v>
      </c>
      <c r="S182" s="279"/>
      <c r="T182" s="333">
        <f>Q182+R182</f>
        <v>280</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44020</v>
      </c>
      <c r="R183" s="333">
        <f>R182+R181</f>
        <v>5995</v>
      </c>
      <c r="S183" s="279"/>
      <c r="T183" s="333">
        <f>Q183+R183</f>
        <v>50015</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110041.48000000001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3.4928366762177649</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1.65</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16.111111111111111</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8.65</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6.2769230769230768</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4.2699999999999996</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FEBRUARY 2014</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41698</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2.232E-2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9.5466040191899085E-3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1.2773395980810091E-2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6.2464673724847136E-3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13.56</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7.8371271611861141E-3</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9.9400000000000002E-2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49</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96</v>
      </c>
      <c r="R217" s="358">
        <f>+R269</f>
        <v>15684</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44</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'Nov 13'!R223+R222</f>
        <v>5173</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3</v>
      </c>
      <c r="R229" s="358">
        <v>317</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3280</v>
      </c>
      <c r="Q236" s="378">
        <f t="shared" ref="Q236:Q243" si="2">P236/$P$245</f>
        <v>0.9939393939393939</v>
      </c>
      <c r="R236" s="237">
        <f t="shared" ref="R236:R243" si="3">+R248+R260+R272</f>
        <v>441931</v>
      </c>
      <c r="S236" s="378">
        <f t="shared" ref="S236:S243" si="4">R236/$R$245</f>
        <v>0.9944777614005873</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10</v>
      </c>
      <c r="Q237" s="378">
        <f t="shared" si="2"/>
        <v>3.0303030303030303E-3</v>
      </c>
      <c r="R237" s="333">
        <f t="shared" si="3"/>
        <v>1138</v>
      </c>
      <c r="S237" s="378">
        <f t="shared" si="4"/>
        <v>2.5608425126860718E-3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3</v>
      </c>
      <c r="Q238" s="378">
        <f t="shared" si="2"/>
        <v>9.0909090909090909E-4</v>
      </c>
      <c r="R238" s="333">
        <f t="shared" si="3"/>
        <v>494</v>
      </c>
      <c r="S238" s="378">
        <f t="shared" si="4"/>
        <v>1.1116486830113528E-3</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1</v>
      </c>
      <c r="Q239" s="378">
        <f t="shared" si="2"/>
        <v>3.0303030303030303E-4</v>
      </c>
      <c r="R239" s="333">
        <f t="shared" si="3"/>
        <v>128</v>
      </c>
      <c r="S239" s="378">
        <f t="shared" si="4"/>
        <v>2.8803852515273918E-4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6.0606060606060606E-4</v>
      </c>
      <c r="R240" s="333">
        <f t="shared" si="3"/>
        <v>249</v>
      </c>
      <c r="S240" s="378">
        <f t="shared" si="4"/>
        <v>5.6032494346118793E-4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0</v>
      </c>
      <c r="Q241" s="378">
        <f t="shared" si="2"/>
        <v>0</v>
      </c>
      <c r="R241" s="333">
        <f t="shared" si="3"/>
        <v>0</v>
      </c>
      <c r="S241" s="378">
        <f t="shared" si="4"/>
        <v>0</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3</v>
      </c>
      <c r="Q242" s="378">
        <f t="shared" si="2"/>
        <v>9.0909090909090909E-4</v>
      </c>
      <c r="R242" s="333">
        <f t="shared" si="3"/>
        <v>308</v>
      </c>
      <c r="S242" s="378">
        <f t="shared" si="4"/>
        <v>6.9309270114877866E-4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3.0303030303030303E-4</v>
      </c>
      <c r="R243" s="333">
        <f t="shared" si="3"/>
        <v>137</v>
      </c>
      <c r="S243" s="383">
        <f t="shared" si="4"/>
        <v>3.0829123395254113E-4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3300</v>
      </c>
      <c r="Q245" s="378">
        <f>SUM(Q236:Q244)</f>
        <v>0.99999999999999978</v>
      </c>
      <c r="R245" s="333">
        <f>SUM(R236:R244)</f>
        <v>444385</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3194</v>
      </c>
      <c r="Q248" s="244">
        <f t="shared" ref="Q248:Q255" si="5">P248/$P$257</f>
        <v>0.99687890137328339</v>
      </c>
      <c r="R248" s="237">
        <v>427817</v>
      </c>
      <c r="S248" s="244">
        <f t="shared" ref="S248:S255" si="6">R248/$R$257</f>
        <v>0.99793795675774022</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8</v>
      </c>
      <c r="Q249" s="378">
        <f t="shared" si="5"/>
        <v>2.4968789013732834E-3</v>
      </c>
      <c r="R249" s="333">
        <v>769</v>
      </c>
      <c r="S249" s="378">
        <f t="shared" si="6"/>
        <v>1.7937910105178202E-3</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1</v>
      </c>
      <c r="Q250" s="378">
        <f t="shared" si="5"/>
        <v>3.1210986267166043E-4</v>
      </c>
      <c r="R250" s="333">
        <v>66</v>
      </c>
      <c r="S250" s="378">
        <f t="shared" si="6"/>
        <v>1.5395345473885063E-4</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1</v>
      </c>
      <c r="Q254" s="378">
        <f t="shared" si="5"/>
        <v>3.1210986267166043E-4</v>
      </c>
      <c r="R254" s="333">
        <v>49</v>
      </c>
      <c r="S254" s="378">
        <f t="shared" si="6"/>
        <v>1.1429877700308607E-4</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3204</v>
      </c>
      <c r="Q257" s="378">
        <f>SUM(Q248:Q256)</f>
        <v>0.99999999999999989</v>
      </c>
      <c r="R257" s="333">
        <f>SUM(R248:R256)</f>
        <v>428701</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86</v>
      </c>
      <c r="Q260" s="244">
        <f t="shared" ref="Q260:Q267" si="7">P260/$P$269</f>
        <v>0.89583333333333337</v>
      </c>
      <c r="R260" s="237">
        <v>14114</v>
      </c>
      <c r="S260" s="244">
        <f t="shared" ref="S260:S267" si="8">R260/$R$269</f>
        <v>0.89989798520785513</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2</v>
      </c>
      <c r="Q261" s="378">
        <f t="shared" si="7"/>
        <v>2.0833333333333332E-2</v>
      </c>
      <c r="R261" s="333">
        <v>369</v>
      </c>
      <c r="S261" s="378">
        <f t="shared" si="8"/>
        <v>2.3527161438408568E-2</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2</v>
      </c>
      <c r="Q262" s="378">
        <f t="shared" si="7"/>
        <v>2.0833333333333332E-2</v>
      </c>
      <c r="R262" s="333">
        <v>428</v>
      </c>
      <c r="S262" s="378">
        <f t="shared" si="8"/>
        <v>2.728895689875032E-2</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1</v>
      </c>
      <c r="Q263" s="378">
        <f t="shared" si="7"/>
        <v>1.0416666666666666E-2</v>
      </c>
      <c r="R263" s="333">
        <v>128</v>
      </c>
      <c r="S263" s="378">
        <f t="shared" si="8"/>
        <v>8.1611833715888801E-3</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2.0833333333333332E-2</v>
      </c>
      <c r="R264" s="333">
        <v>249</v>
      </c>
      <c r="S264" s="378">
        <f t="shared" si="8"/>
        <v>1.5876052027543993E-2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0</v>
      </c>
      <c r="Q265" s="378">
        <f t="shared" si="7"/>
        <v>0</v>
      </c>
      <c r="R265" s="333">
        <v>0</v>
      </c>
      <c r="S265" s="378">
        <f t="shared" si="8"/>
        <v>0</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2</v>
      </c>
      <c r="Q266" s="378">
        <f t="shared" si="7"/>
        <v>2.0833333333333332E-2</v>
      </c>
      <c r="R266" s="333">
        <v>259</v>
      </c>
      <c r="S266" s="378">
        <f t="shared" si="8"/>
        <v>1.6513644478449375E-2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1.0416666666666666E-2</v>
      </c>
      <c r="R267" s="333">
        <v>137</v>
      </c>
      <c r="S267" s="378">
        <f t="shared" si="8"/>
        <v>8.7350165774037238E-3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96</v>
      </c>
      <c r="Q269" s="378">
        <f>SUM(Q260:Q268)</f>
        <v>1.0000000000000002</v>
      </c>
      <c r="R269" s="333">
        <f>SUM(R260:R268)</f>
        <v>15684</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3300</v>
      </c>
      <c r="Q283" s="378"/>
      <c r="R283" s="382">
        <f>+R281+R269+R257</f>
        <v>444385</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FEBRUARY 2014</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000-000000000000}"/>
    <hyperlink ref="N233" r:id="rId2" xr:uid="{00000000-0004-0000-2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0.66869999999999996</v>
      </c>
      <c r="R16" s="222" t="s">
        <v>147</v>
      </c>
      <c r="S16" s="221">
        <v>0.33129999999999998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41813</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152722.68000000002</v>
      </c>
      <c r="E32" s="289"/>
      <c r="F32" s="290">
        <f>F31*F38</f>
        <v>105000</v>
      </c>
      <c r="G32" s="290"/>
      <c r="H32" s="295">
        <f>H31*H38</f>
        <v>222000</v>
      </c>
      <c r="I32" s="290"/>
      <c r="J32" s="290">
        <f>J31*J38</f>
        <v>27610.515799999997</v>
      </c>
      <c r="K32" s="290"/>
      <c r="L32" s="295">
        <f>L31*L38</f>
        <v>17367.9051</v>
      </c>
      <c r="M32" s="290"/>
      <c r="N32" s="296">
        <f>N31*N38</f>
        <v>45869.082699999999</v>
      </c>
      <c r="O32" s="290"/>
      <c r="P32" s="295">
        <f>P31*P38</f>
        <v>24493.199499999999</v>
      </c>
      <c r="Q32" s="290"/>
      <c r="R32" s="290"/>
      <c r="S32" s="291"/>
      <c r="T32" s="290"/>
      <c r="U32" s="292"/>
      <c r="V32" s="5"/>
    </row>
    <row r="33" spans="1:22" x14ac:dyDescent="0.35">
      <c r="A33" s="278"/>
      <c r="B33" s="286" t="s">
        <v>141</v>
      </c>
      <c r="C33" s="289"/>
      <c r="D33" s="299">
        <f>D37*D31</f>
        <v>146702.6</v>
      </c>
      <c r="E33" s="293"/>
      <c r="F33" s="297">
        <f>F37*F31</f>
        <v>105000</v>
      </c>
      <c r="G33" s="297"/>
      <c r="H33" s="300">
        <f>H31*H37</f>
        <v>222000</v>
      </c>
      <c r="I33" s="297"/>
      <c r="J33" s="297">
        <f>J31*J37</f>
        <v>27332.179199999999</v>
      </c>
      <c r="K33" s="297"/>
      <c r="L33" s="300">
        <f>L31*L37</f>
        <v>17192.822400000001</v>
      </c>
      <c r="M33" s="297"/>
      <c r="N33" s="297">
        <f>N31*N37</f>
        <v>45406.684800000003</v>
      </c>
      <c r="O33" s="297"/>
      <c r="P33" s="300">
        <f>P31*P37</f>
        <v>24246.288</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87620.611324800004</v>
      </c>
      <c r="E35" s="289"/>
      <c r="F35" s="290">
        <f>F34*F38</f>
        <v>105000</v>
      </c>
      <c r="G35" s="290"/>
      <c r="H35" s="290">
        <f>H34*H38</f>
        <v>150000</v>
      </c>
      <c r="I35" s="290"/>
      <c r="J35" s="290">
        <f>J32</f>
        <v>27610.515799999997</v>
      </c>
      <c r="K35" s="290"/>
      <c r="L35" s="290">
        <f>L34*L38</f>
        <v>11735.359876799999</v>
      </c>
      <c r="M35" s="290"/>
      <c r="N35" s="290">
        <f>N32</f>
        <v>45869.082699999999</v>
      </c>
      <c r="O35" s="290"/>
      <c r="P35" s="290">
        <f>P34*P38</f>
        <v>16549.386905799998</v>
      </c>
      <c r="Q35" s="290"/>
      <c r="R35" s="290"/>
      <c r="S35" s="291"/>
      <c r="T35" s="290">
        <f>SUM(C35:P35)</f>
        <v>444384.95660739997</v>
      </c>
      <c r="U35" s="292"/>
      <c r="V35" s="5"/>
    </row>
    <row r="36" spans="1:22" x14ac:dyDescent="0.35">
      <c r="A36" s="283"/>
      <c r="B36" s="286" t="s">
        <v>298</v>
      </c>
      <c r="C36" s="293"/>
      <c r="D36" s="297">
        <f>D37*D34</f>
        <v>84166.749136000013</v>
      </c>
      <c r="E36" s="293"/>
      <c r="F36" s="297">
        <f>F37*F34</f>
        <v>105000</v>
      </c>
      <c r="G36" s="297"/>
      <c r="H36" s="297">
        <f>H37*H34</f>
        <v>150000</v>
      </c>
      <c r="I36" s="297"/>
      <c r="J36" s="297">
        <f>J37*J34</f>
        <v>27332.179199999999</v>
      </c>
      <c r="K36" s="297"/>
      <c r="L36" s="297">
        <f>L37*L34</f>
        <v>11617.0578432</v>
      </c>
      <c r="M36" s="297"/>
      <c r="N36" s="297">
        <f>N37*N34</f>
        <v>45406.684800000003</v>
      </c>
      <c r="O36" s="297"/>
      <c r="P36" s="297">
        <f>P34*P37</f>
        <v>16382.555539200001</v>
      </c>
      <c r="Q36" s="322"/>
      <c r="R36" s="322"/>
      <c r="S36" s="291"/>
      <c r="T36" s="297">
        <f>SUM(C36:P36)</f>
        <v>439905.22651840001</v>
      </c>
      <c r="U36" s="292"/>
      <c r="V36" s="5"/>
    </row>
    <row r="37" spans="1:22" x14ac:dyDescent="0.35">
      <c r="A37" s="305"/>
      <c r="B37" s="306" t="s">
        <v>137</v>
      </c>
      <c r="C37" s="307"/>
      <c r="D37" s="308">
        <v>0.13336600000000001</v>
      </c>
      <c r="E37" s="309"/>
      <c r="F37" s="308">
        <v>1</v>
      </c>
      <c r="G37" s="308"/>
      <c r="H37" s="308">
        <v>1</v>
      </c>
      <c r="I37" s="308"/>
      <c r="J37" s="308">
        <v>0.8816832</v>
      </c>
      <c r="K37" s="308"/>
      <c r="L37" s="308">
        <v>0.8816832</v>
      </c>
      <c r="M37" s="308"/>
      <c r="N37" s="308">
        <v>0.8816832</v>
      </c>
      <c r="O37" s="308"/>
      <c r="P37" s="308">
        <v>0.8816832</v>
      </c>
      <c r="Q37" s="310"/>
      <c r="R37" s="310"/>
      <c r="S37" s="311"/>
      <c r="T37" s="311"/>
      <c r="U37" s="312"/>
      <c r="V37" s="5"/>
    </row>
    <row r="38" spans="1:22" x14ac:dyDescent="0.35">
      <c r="A38" s="305"/>
      <c r="B38" s="306" t="s">
        <v>138</v>
      </c>
      <c r="C38" s="307"/>
      <c r="D38" s="308">
        <v>0.13883880000000001</v>
      </c>
      <c r="E38" s="309"/>
      <c r="F38" s="308">
        <v>1</v>
      </c>
      <c r="G38" s="308"/>
      <c r="H38" s="308">
        <v>1</v>
      </c>
      <c r="I38" s="308"/>
      <c r="J38" s="308">
        <v>0.89066179999999995</v>
      </c>
      <c r="K38" s="308"/>
      <c r="L38" s="308">
        <v>0.89066179999999995</v>
      </c>
      <c r="M38" s="308"/>
      <c r="N38" s="308">
        <v>0.89066179999999995</v>
      </c>
      <c r="O38" s="308"/>
      <c r="P38" s="308">
        <v>0.89066179999999995</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2.4109999999999999E-3</v>
      </c>
      <c r="E40" s="279"/>
      <c r="F40" s="316">
        <v>8.4063000000000002E-3</v>
      </c>
      <c r="G40" s="315"/>
      <c r="H40" s="316">
        <v>6.2399999999999999E-3</v>
      </c>
      <c r="I40" s="315"/>
      <c r="J40" s="316">
        <v>1.0606300000000001E-2</v>
      </c>
      <c r="K40" s="315"/>
      <c r="L40" s="316">
        <v>8.4399999999999996E-3</v>
      </c>
      <c r="M40" s="315"/>
      <c r="N40" s="316">
        <v>1.62063E-2</v>
      </c>
      <c r="O40" s="315"/>
      <c r="P40" s="316">
        <v>1.404E-2</v>
      </c>
      <c r="Q40" s="315"/>
      <c r="R40" s="316"/>
      <c r="S40" s="281"/>
      <c r="T40" s="287"/>
      <c r="U40" s="282"/>
      <c r="V40" s="5"/>
    </row>
    <row r="41" spans="1:22" x14ac:dyDescent="0.35">
      <c r="A41" s="278"/>
      <c r="B41" s="279" t="s">
        <v>13</v>
      </c>
      <c r="C41" s="279"/>
      <c r="D41" s="316">
        <v>2.4450000000000001E-3</v>
      </c>
      <c r="E41" s="279"/>
      <c r="F41" s="316">
        <v>8.4519E-3</v>
      </c>
      <c r="G41" s="315"/>
      <c r="H41" s="316">
        <v>5.9699999999999996E-3</v>
      </c>
      <c r="I41" s="315"/>
      <c r="J41" s="316">
        <v>1.0651900000000001E-2</v>
      </c>
      <c r="K41" s="315"/>
      <c r="L41" s="316">
        <v>8.1700000000000002E-3</v>
      </c>
      <c r="M41" s="315"/>
      <c r="N41" s="316">
        <v>1.62519E-2</v>
      </c>
      <c r="O41" s="315"/>
      <c r="P41" s="316">
        <v>1.3769999999999999E-2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6.3619000000000002E-3</v>
      </c>
      <c r="E43" s="279"/>
      <c r="F43" s="316">
        <f>+F40</f>
        <v>8.4063000000000002E-3</v>
      </c>
      <c r="G43" s="315"/>
      <c r="H43" s="316">
        <v>8.8562999999999992E-3</v>
      </c>
      <c r="I43" s="315"/>
      <c r="J43" s="316">
        <f>+J40</f>
        <v>1.0606300000000001E-2</v>
      </c>
      <c r="K43" s="315"/>
      <c r="L43" s="316">
        <v>1.1336300000000001E-2</v>
      </c>
      <c r="M43" s="315"/>
      <c r="N43" s="316">
        <f>+N40</f>
        <v>1.62063E-2</v>
      </c>
      <c r="O43" s="315"/>
      <c r="P43" s="316">
        <v>1.7436299999999998E-2</v>
      </c>
      <c r="Q43" s="287"/>
      <c r="R43" s="287"/>
      <c r="S43" s="281"/>
      <c r="T43" s="315">
        <f>SUMPRODUCT(D43:P43,D35:P35)/T35</f>
        <v>9.5105587354267895E-3</v>
      </c>
      <c r="U43" s="282"/>
      <c r="V43" s="5"/>
    </row>
    <row r="44" spans="1:22" x14ac:dyDescent="0.35">
      <c r="A44" s="278"/>
      <c r="B44" s="279" t="s">
        <v>301</v>
      </c>
      <c r="C44" s="317"/>
      <c r="D44" s="316">
        <v>6.4075E-3</v>
      </c>
      <c r="E44" s="279"/>
      <c r="F44" s="316">
        <f>+F41</f>
        <v>8.4519E-3</v>
      </c>
      <c r="G44" s="315"/>
      <c r="H44" s="316">
        <v>8.9019000000000008E-3</v>
      </c>
      <c r="I44" s="315"/>
      <c r="J44" s="316">
        <f>+J41</f>
        <v>1.0651900000000001E-2</v>
      </c>
      <c r="K44" s="315"/>
      <c r="L44" s="316">
        <v>1.13819E-2</v>
      </c>
      <c r="M44" s="315"/>
      <c r="N44" s="316">
        <f>+N41</f>
        <v>1.62519E-2</v>
      </c>
      <c r="O44" s="315"/>
      <c r="P44" s="316">
        <v>1.7481900000000002E-2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0.29701755151123499</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41806</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41624</v>
      </c>
      <c r="S57" s="328"/>
      <c r="T57" s="327">
        <v>41714</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41715</v>
      </c>
      <c r="S58" s="328"/>
      <c r="T58" s="327">
        <v>41805</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41792</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336</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444385</v>
      </c>
      <c r="M68" s="332"/>
      <c r="N68" s="332">
        <f>4480+29+47</f>
        <v>4556</v>
      </c>
      <c r="O68" s="332"/>
      <c r="P68" s="332">
        <f>29+47</f>
        <v>76</v>
      </c>
      <c r="Q68" s="332"/>
      <c r="R68" s="332">
        <v>0</v>
      </c>
      <c r="S68" s="332"/>
      <c r="T68" s="333">
        <f>+L68-N68+P68-R68</f>
        <v>439905</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444385</v>
      </c>
      <c r="M71" s="332"/>
      <c r="N71" s="332">
        <f>SUM(N68:N70)</f>
        <v>4556</v>
      </c>
      <c r="O71" s="332"/>
      <c r="P71" s="332">
        <f>SUM(P68:P70)</f>
        <v>76</v>
      </c>
      <c r="Q71" s="332"/>
      <c r="R71" s="332">
        <f>SUM(R68:R70)</f>
        <v>0</v>
      </c>
      <c r="S71" s="332"/>
      <c r="T71" s="332">
        <f>SUM(T68:T70)</f>
        <v>439905</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444385</v>
      </c>
      <c r="M84" s="332"/>
      <c r="N84" s="332"/>
      <c r="O84" s="332"/>
      <c r="P84" s="332"/>
      <c r="Q84" s="332"/>
      <c r="R84" s="332"/>
      <c r="S84" s="332"/>
      <c r="T84" s="332">
        <f>SUM(T71:T83)</f>
        <v>439905</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41789</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4556+1</f>
        <v>4557</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1997+1370-421-479</f>
        <v>2467</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66+9</f>
        <v>75</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23</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225</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4557</v>
      </c>
      <c r="S96" s="279"/>
      <c r="T96" s="332">
        <f>SUM(T88:T95)</f>
        <v>2790</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108</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4557</v>
      </c>
      <c r="S100" s="279"/>
      <c r="T100" s="332">
        <f>T96+T98+T97+T99</f>
        <v>2898</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-171-195-6</f>
        <v>-372</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-690+220</f>
        <v>-470</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-220</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-73</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-72</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-185</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v>
      </c>
      <c r="S115" s="279"/>
      <c r="T115" s="333">
        <v>1</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-171</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-1294</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-76</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-3454</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-279</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-118</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-462</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-167</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-4556</v>
      </c>
      <c r="S132" s="332"/>
      <c r="T132" s="332">
        <f>SUM(T101:T130)</f>
        <v>-2898</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MAY 2014</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439905</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439905</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+'Feb 14'!Q183</f>
        <v>44020</v>
      </c>
      <c r="R181" s="333">
        <f>+'Feb 14'!R183</f>
        <v>5995</v>
      </c>
      <c r="S181" s="279"/>
      <c r="T181" s="333">
        <f>Q181+R181</f>
        <v>50015</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f>29+47</f>
        <v>76</v>
      </c>
      <c r="R182" s="332">
        <v>0</v>
      </c>
      <c r="S182" s="279"/>
      <c r="T182" s="333">
        <f>Q182+R182</f>
        <v>76</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44096</v>
      </c>
      <c r="R183" s="333">
        <f>R182+R181</f>
        <v>5995</v>
      </c>
      <c r="S183" s="279"/>
      <c r="T183" s="333">
        <f>Q183+R183</f>
        <v>50091</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109965.48000000001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3.6579710144927535</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1.66</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17.30188679245283</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8.73</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6.7237354085603114</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4.3</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MAY 2014</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41789</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2.2329999999999999E-2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9.5105587354267895E-3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1.281944126457321E-2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6.5213722335362356E-3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13.32</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1.025237125465531E-2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9.7699999999999995E-2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49</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99</v>
      </c>
      <c r="R217" s="358">
        <f>+R269</f>
        <v>15574</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'Feb 14'!R223+R222</f>
        <v>5172</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2</v>
      </c>
      <c r="R229" s="358">
        <v>244</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3256</v>
      </c>
      <c r="Q236" s="378">
        <f t="shared" ref="Q236:Q243" si="2">P236/$P$245</f>
        <v>0.99541424640782639</v>
      </c>
      <c r="R236" s="237">
        <f t="shared" ref="R236:R243" si="3">+R248+R260+R272</f>
        <v>438218</v>
      </c>
      <c r="S236" s="378">
        <f t="shared" ref="S236:S243" si="4">R236/$R$245</f>
        <v>0.99616508109705504</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5</v>
      </c>
      <c r="Q237" s="378">
        <f t="shared" si="2"/>
        <v>1.5285845307245491E-3</v>
      </c>
      <c r="R237" s="333">
        <f t="shared" si="3"/>
        <v>353</v>
      </c>
      <c r="S237" s="378">
        <f t="shared" si="4"/>
        <v>8.0244598265534603E-4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3</v>
      </c>
      <c r="Q238" s="378">
        <f t="shared" si="2"/>
        <v>9.1715071843472939E-4</v>
      </c>
      <c r="R238" s="333">
        <f t="shared" si="3"/>
        <v>328</v>
      </c>
      <c r="S238" s="378">
        <f t="shared" si="4"/>
        <v>7.456155306259306E-4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1</v>
      </c>
      <c r="Q239" s="378">
        <f t="shared" si="2"/>
        <v>3.057169061449098E-4</v>
      </c>
      <c r="R239" s="333">
        <f t="shared" si="3"/>
        <v>133</v>
      </c>
      <c r="S239" s="378">
        <f t="shared" si="4"/>
        <v>3.0233800479649017E-4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6.1143381228981959E-4</v>
      </c>
      <c r="R240" s="333">
        <f t="shared" si="3"/>
        <v>429</v>
      </c>
      <c r="S240" s="378">
        <f t="shared" si="4"/>
        <v>9.7521055682476903E-4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3.057169061449098E-4</v>
      </c>
      <c r="R241" s="333">
        <f t="shared" si="3"/>
        <v>116</v>
      </c>
      <c r="S241" s="378">
        <f t="shared" si="4"/>
        <v>2.6369329741648766E-4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3.057169061449098E-4</v>
      </c>
      <c r="R242" s="333">
        <f t="shared" si="3"/>
        <v>143</v>
      </c>
      <c r="S242" s="378">
        <f t="shared" si="4"/>
        <v>3.2507018560825631E-4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2</v>
      </c>
      <c r="Q243" s="378">
        <f t="shared" si="2"/>
        <v>6.1143381228981959E-4</v>
      </c>
      <c r="R243" s="333">
        <f t="shared" si="3"/>
        <v>185</v>
      </c>
      <c r="S243" s="383">
        <f t="shared" si="4"/>
        <v>4.2054534501767429E-4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3271</v>
      </c>
      <c r="Q245" s="378">
        <f>SUM(Q236:Q244)</f>
        <v>0.99999999999999989</v>
      </c>
      <c r="R245" s="333">
        <f>SUM(R236:R244)</f>
        <v>439905</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3167</v>
      </c>
      <c r="Q248" s="244">
        <f t="shared" ref="Q248:Q255" si="5">P248/$P$257</f>
        <v>0.99842370744010089</v>
      </c>
      <c r="R248" s="237">
        <v>423995</v>
      </c>
      <c r="S248" s="244">
        <f t="shared" ref="S248:S255" si="6">R248/$R$257</f>
        <v>0.99920816532376844</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4</v>
      </c>
      <c r="Q249" s="378">
        <f t="shared" si="5"/>
        <v>1.2610340479192938E-3</v>
      </c>
      <c r="R249" s="333">
        <v>287</v>
      </c>
      <c r="S249" s="378">
        <f t="shared" si="6"/>
        <v>6.7635878594776244E-4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1</v>
      </c>
      <c r="Q255" s="378">
        <f t="shared" si="5"/>
        <v>3.1525851197982345E-4</v>
      </c>
      <c r="R255" s="333">
        <v>49</v>
      </c>
      <c r="S255" s="378">
        <f t="shared" si="6"/>
        <v>1.1547589028376433E-4</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3172</v>
      </c>
      <c r="Q257" s="378">
        <f>SUM(Q248:Q256)</f>
        <v>1</v>
      </c>
      <c r="R257" s="333">
        <f>SUM(R248:R256)</f>
        <v>424331</v>
      </c>
      <c r="S257" s="378">
        <f>SUM(S248:S256)</f>
        <v>0.99999999999999989</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89</v>
      </c>
      <c r="Q260" s="244">
        <f t="shared" ref="Q260:Q267" si="7">P260/$P$269</f>
        <v>0.89898989898989901</v>
      </c>
      <c r="R260" s="237">
        <v>14223</v>
      </c>
      <c r="S260" s="244">
        <f t="shared" ref="S260:S267" si="8">R260/$R$269</f>
        <v>0.91325285732631312</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1.0101010101010102E-2</v>
      </c>
      <c r="R261" s="333">
        <v>66</v>
      </c>
      <c r="S261" s="378">
        <f t="shared" si="8"/>
        <v>4.237832284576859E-3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3</v>
      </c>
      <c r="Q262" s="378">
        <f t="shared" si="7"/>
        <v>3.0303030303030304E-2</v>
      </c>
      <c r="R262" s="333">
        <v>328</v>
      </c>
      <c r="S262" s="378">
        <f t="shared" si="8"/>
        <v>2.10607422627456E-2</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1</v>
      </c>
      <c r="Q263" s="378">
        <f t="shared" si="7"/>
        <v>1.0101010101010102E-2</v>
      </c>
      <c r="R263" s="333">
        <v>133</v>
      </c>
      <c r="S263" s="378">
        <f t="shared" si="8"/>
        <v>8.5398741492230638E-3</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2.0202020202020204E-2</v>
      </c>
      <c r="R264" s="333">
        <v>429</v>
      </c>
      <c r="S264" s="378">
        <f t="shared" si="8"/>
        <v>2.7545909849749584E-2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1.0101010101010102E-2</v>
      </c>
      <c r="R265" s="333">
        <v>116</v>
      </c>
      <c r="S265" s="378">
        <f t="shared" si="8"/>
        <v>7.4483112880441762E-3</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1.0101010101010102E-2</v>
      </c>
      <c r="R266" s="333">
        <v>143</v>
      </c>
      <c r="S266" s="378">
        <f t="shared" si="8"/>
        <v>9.1819699499165273E-3</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1.0101010101010102E-2</v>
      </c>
      <c r="R267" s="333">
        <v>136</v>
      </c>
      <c r="S267" s="378">
        <f t="shared" si="8"/>
        <v>8.732502889431103E-3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99</v>
      </c>
      <c r="Q269" s="378">
        <f>SUM(Q260:Q268)</f>
        <v>0.99999999999999978</v>
      </c>
      <c r="R269" s="333">
        <f>SUM(R260:R268)</f>
        <v>15574</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3271</v>
      </c>
      <c r="Q283" s="378"/>
      <c r="R283" s="382">
        <f>+R281+R269+R257</f>
        <v>439905</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MAY 2014</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100-000000000000}"/>
    <hyperlink ref="N233" r:id="rId2" xr:uid="{00000000-0004-0000-2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0.67100000000000004</v>
      </c>
      <c r="R16" s="222" t="s">
        <v>147</v>
      </c>
      <c r="S16" s="221">
        <v>0.32900000000000001</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41904</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146702.6</v>
      </c>
      <c r="E32" s="289"/>
      <c r="F32" s="290">
        <f>F31*F38</f>
        <v>105000</v>
      </c>
      <c r="G32" s="290"/>
      <c r="H32" s="295">
        <f>H31*H38</f>
        <v>222000</v>
      </c>
      <c r="I32" s="290"/>
      <c r="J32" s="290">
        <f>J31*J38</f>
        <v>27332.179199999999</v>
      </c>
      <c r="K32" s="290"/>
      <c r="L32" s="295">
        <f>L31*L38</f>
        <v>17192.822400000001</v>
      </c>
      <c r="M32" s="290"/>
      <c r="N32" s="296">
        <f>N31*N38</f>
        <v>45406.684800000003</v>
      </c>
      <c r="O32" s="290"/>
      <c r="P32" s="295">
        <f>P31*P38</f>
        <v>24246.288</v>
      </c>
      <c r="Q32" s="290"/>
      <c r="R32" s="290"/>
      <c r="S32" s="291"/>
      <c r="T32" s="290"/>
      <c r="U32" s="292"/>
      <c r="V32" s="5"/>
    </row>
    <row r="33" spans="1:22" x14ac:dyDescent="0.35">
      <c r="A33" s="278"/>
      <c r="B33" s="286" t="s">
        <v>141</v>
      </c>
      <c r="C33" s="289"/>
      <c r="D33" s="299">
        <f>D37*D31</f>
        <v>139963.78</v>
      </c>
      <c r="E33" s="293"/>
      <c r="F33" s="297">
        <f>F37*F31</f>
        <v>105000</v>
      </c>
      <c r="G33" s="297"/>
      <c r="H33" s="300">
        <f>H31*H37</f>
        <v>222000</v>
      </c>
      <c r="I33" s="297"/>
      <c r="J33" s="297">
        <f>J31*J37</f>
        <v>27020.6168</v>
      </c>
      <c r="K33" s="297"/>
      <c r="L33" s="300">
        <f>L31*L37</f>
        <v>16996.839599999999</v>
      </c>
      <c r="M33" s="297"/>
      <c r="N33" s="297">
        <f>N31*N37</f>
        <v>44889.089200000002</v>
      </c>
      <c r="O33" s="297"/>
      <c r="P33" s="300">
        <f>P31*P37</f>
        <v>23969.901999999998</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84166.749136000013</v>
      </c>
      <c r="E35" s="289"/>
      <c r="F35" s="290">
        <f>F34*F38</f>
        <v>105000</v>
      </c>
      <c r="G35" s="290"/>
      <c r="H35" s="290">
        <f>H34*H38</f>
        <v>150000</v>
      </c>
      <c r="I35" s="290"/>
      <c r="J35" s="290">
        <f>J32</f>
        <v>27332.179199999999</v>
      </c>
      <c r="K35" s="290"/>
      <c r="L35" s="290">
        <f>L34*L38</f>
        <v>11617.0578432</v>
      </c>
      <c r="M35" s="290"/>
      <c r="N35" s="290">
        <f>N32</f>
        <v>45406.684800000003</v>
      </c>
      <c r="O35" s="290"/>
      <c r="P35" s="290">
        <f>P34*P38</f>
        <v>16382.555539200001</v>
      </c>
      <c r="Q35" s="290"/>
      <c r="R35" s="290"/>
      <c r="S35" s="291"/>
      <c r="T35" s="290">
        <f>SUM(C35:P35)</f>
        <v>439905.22651840001</v>
      </c>
      <c r="U35" s="292"/>
      <c r="V35" s="5"/>
    </row>
    <row r="36" spans="1:22" x14ac:dyDescent="0.35">
      <c r="A36" s="283"/>
      <c r="B36" s="286" t="s">
        <v>298</v>
      </c>
      <c r="C36" s="293"/>
      <c r="D36" s="297">
        <f>D37*D34</f>
        <v>80300.528820799998</v>
      </c>
      <c r="E36" s="293"/>
      <c r="F36" s="297">
        <f>F37*F34</f>
        <v>105000</v>
      </c>
      <c r="G36" s="297"/>
      <c r="H36" s="297">
        <f>H37*H34</f>
        <v>150000</v>
      </c>
      <c r="I36" s="297"/>
      <c r="J36" s="297">
        <f>J37*J34</f>
        <v>27020.6168</v>
      </c>
      <c r="K36" s="297"/>
      <c r="L36" s="297">
        <f>L37*L34</f>
        <v>11484.6337728</v>
      </c>
      <c r="M36" s="297"/>
      <c r="N36" s="297">
        <f>N37*N34</f>
        <v>44889.089200000002</v>
      </c>
      <c r="O36" s="297"/>
      <c r="P36" s="297">
        <f>P34*P37</f>
        <v>16195.809056799999</v>
      </c>
      <c r="Q36" s="322"/>
      <c r="R36" s="322"/>
      <c r="S36" s="291"/>
      <c r="T36" s="297">
        <f>SUM(C36:P36)</f>
        <v>434890.67765039997</v>
      </c>
      <c r="U36" s="292"/>
      <c r="V36" s="5"/>
    </row>
    <row r="37" spans="1:22" x14ac:dyDescent="0.35">
      <c r="A37" s="305"/>
      <c r="B37" s="306" t="s">
        <v>137</v>
      </c>
      <c r="C37" s="307"/>
      <c r="D37" s="308">
        <v>0.12723979999999999</v>
      </c>
      <c r="E37" s="309"/>
      <c r="F37" s="308">
        <v>1</v>
      </c>
      <c r="G37" s="308"/>
      <c r="H37" s="308">
        <v>1</v>
      </c>
      <c r="I37" s="308"/>
      <c r="J37" s="308">
        <v>0.87163279999999999</v>
      </c>
      <c r="K37" s="308"/>
      <c r="L37" s="308">
        <v>0.87163279999999999</v>
      </c>
      <c r="M37" s="308"/>
      <c r="N37" s="308">
        <v>0.87163279999999999</v>
      </c>
      <c r="O37" s="308"/>
      <c r="P37" s="308">
        <v>0.87163279999999999</v>
      </c>
      <c r="Q37" s="310"/>
      <c r="R37" s="310"/>
      <c r="S37" s="311"/>
      <c r="T37" s="311"/>
      <c r="U37" s="312"/>
      <c r="V37" s="5"/>
    </row>
    <row r="38" spans="1:22" x14ac:dyDescent="0.35">
      <c r="A38" s="305"/>
      <c r="B38" s="306" t="s">
        <v>138</v>
      </c>
      <c r="C38" s="307"/>
      <c r="D38" s="308">
        <v>0.13336600000000001</v>
      </c>
      <c r="E38" s="309"/>
      <c r="F38" s="308">
        <v>1</v>
      </c>
      <c r="G38" s="308"/>
      <c r="H38" s="308">
        <v>1</v>
      </c>
      <c r="I38" s="308"/>
      <c r="J38" s="308">
        <v>0.8816832</v>
      </c>
      <c r="K38" s="308"/>
      <c r="L38" s="308">
        <v>0.8816832</v>
      </c>
      <c r="M38" s="308"/>
      <c r="N38" s="308">
        <v>0.8816832</v>
      </c>
      <c r="O38" s="308"/>
      <c r="P38" s="308">
        <v>0.8816832</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2.4499999999999999E-3</v>
      </c>
      <c r="E40" s="279"/>
      <c r="F40" s="316">
        <v>8.7813000000000006E-3</v>
      </c>
      <c r="G40" s="315"/>
      <c r="H40" s="316">
        <v>5.62E-3</v>
      </c>
      <c r="I40" s="315"/>
      <c r="J40" s="316">
        <v>1.0981299999999999E-2</v>
      </c>
      <c r="K40" s="315"/>
      <c r="L40" s="316">
        <v>7.8200000000000006E-3</v>
      </c>
      <c r="M40" s="315"/>
      <c r="N40" s="316">
        <v>1.65813E-2</v>
      </c>
      <c r="O40" s="315"/>
      <c r="P40" s="316">
        <v>1.342E-2</v>
      </c>
      <c r="Q40" s="315"/>
      <c r="R40" s="316"/>
      <c r="S40" s="281"/>
      <c r="T40" s="287"/>
      <c r="U40" s="282"/>
      <c r="V40" s="5"/>
    </row>
    <row r="41" spans="1:22" x14ac:dyDescent="0.35">
      <c r="A41" s="278"/>
      <c r="B41" s="279" t="s">
        <v>13</v>
      </c>
      <c r="C41" s="279"/>
      <c r="D41" s="316">
        <v>2.4109999999999999E-3</v>
      </c>
      <c r="E41" s="279"/>
      <c r="F41" s="316">
        <v>8.4063000000000002E-3</v>
      </c>
      <c r="G41" s="315"/>
      <c r="H41" s="316">
        <v>6.2399999999999999E-3</v>
      </c>
      <c r="I41" s="315"/>
      <c r="J41" s="316">
        <v>1.0606300000000001E-2</v>
      </c>
      <c r="K41" s="315"/>
      <c r="L41" s="316">
        <v>8.4399999999999996E-3</v>
      </c>
      <c r="M41" s="315"/>
      <c r="N41" s="316">
        <v>1.62063E-2</v>
      </c>
      <c r="O41" s="315"/>
      <c r="P41" s="316">
        <v>1.404E-2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6.7368999999999997E-3</v>
      </c>
      <c r="E43" s="279"/>
      <c r="F43" s="316">
        <f>+F40</f>
        <v>8.7813000000000006E-3</v>
      </c>
      <c r="G43" s="315"/>
      <c r="H43" s="316">
        <v>9.2312999999999996E-3</v>
      </c>
      <c r="I43" s="315"/>
      <c r="J43" s="316">
        <f>+J40</f>
        <v>1.0981299999999999E-2</v>
      </c>
      <c r="K43" s="315"/>
      <c r="L43" s="316">
        <v>1.1711299999999999E-2</v>
      </c>
      <c r="M43" s="315"/>
      <c r="N43" s="316">
        <f>+N40</f>
        <v>1.65813E-2</v>
      </c>
      <c r="O43" s="315"/>
      <c r="P43" s="316">
        <v>1.7811299999999999E-2</v>
      </c>
      <c r="Q43" s="287"/>
      <c r="R43" s="287"/>
      <c r="S43" s="281"/>
      <c r="T43" s="315">
        <f>SUMPRODUCT(D43:P43,D35:P35)/T35</f>
        <v>9.8990518704141772E-3</v>
      </c>
      <c r="U43" s="282"/>
      <c r="V43" s="5"/>
    </row>
    <row r="44" spans="1:22" x14ac:dyDescent="0.35">
      <c r="A44" s="278"/>
      <c r="B44" s="279" t="s">
        <v>301</v>
      </c>
      <c r="C44" s="317"/>
      <c r="D44" s="316">
        <v>6.3619000000000002E-3</v>
      </c>
      <c r="E44" s="279"/>
      <c r="F44" s="316">
        <f>+F41</f>
        <v>8.4063000000000002E-3</v>
      </c>
      <c r="G44" s="315"/>
      <c r="H44" s="316">
        <v>8.8562999999999992E-3</v>
      </c>
      <c r="I44" s="315"/>
      <c r="J44" s="316">
        <f>+J41</f>
        <v>1.0606300000000001E-2</v>
      </c>
      <c r="K44" s="315"/>
      <c r="L44" s="316">
        <v>1.1336300000000001E-2</v>
      </c>
      <c r="M44" s="315"/>
      <c r="N44" s="316">
        <f>+N41</f>
        <v>1.62063E-2</v>
      </c>
      <c r="O44" s="315"/>
      <c r="P44" s="316">
        <v>1.7436299999999998E-2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0.29701757160909681</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41897</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41715</v>
      </c>
      <c r="S57" s="328"/>
      <c r="T57" s="327">
        <v>41805</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41806</v>
      </c>
      <c r="S58" s="328"/>
      <c r="T58" s="327">
        <v>41896</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41883</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337</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439905</v>
      </c>
      <c r="M68" s="332"/>
      <c r="N68" s="332">
        <f>5015+98+127-1</f>
        <v>5239</v>
      </c>
      <c r="O68" s="332"/>
      <c r="P68" s="332">
        <f>98+127</f>
        <v>225</v>
      </c>
      <c r="Q68" s="332"/>
      <c r="R68" s="332">
        <v>0</v>
      </c>
      <c r="S68" s="332"/>
      <c r="T68" s="333">
        <f>+L68-N68+P68-R68</f>
        <v>434891</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439905</v>
      </c>
      <c r="M71" s="332"/>
      <c r="N71" s="332">
        <f>SUM(N68:N70)</f>
        <v>5239</v>
      </c>
      <c r="O71" s="332"/>
      <c r="P71" s="332">
        <f>SUM(P68:P70)</f>
        <v>225</v>
      </c>
      <c r="Q71" s="332"/>
      <c r="R71" s="332">
        <f>SUM(R68:R70)</f>
        <v>0</v>
      </c>
      <c r="S71" s="332"/>
      <c r="T71" s="332">
        <f>SUM(T68:T70)</f>
        <v>434891</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439905</v>
      </c>
      <c r="M84" s="332"/>
      <c r="N84" s="332"/>
      <c r="O84" s="332"/>
      <c r="P84" s="332"/>
      <c r="Q84" s="332"/>
      <c r="R84" s="332"/>
      <c r="S84" s="332"/>
      <c r="T84" s="332">
        <f>SUM(T71:T83)</f>
        <v>434891</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41880</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5239-116</f>
        <v>5123</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2034+1349-383-479</f>
        <v>2521</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144+56</f>
        <v>200</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23</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133</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5123</v>
      </c>
      <c r="S96" s="279"/>
      <c r="T96" s="332">
        <f>SUM(T88:T95)</f>
        <v>2877</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-79</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5123</v>
      </c>
      <c r="S100" s="279"/>
      <c r="T100" s="332">
        <f>T96+T98+T97+T99</f>
        <v>2798</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-169-156-6</f>
        <v>-331</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-716+230</f>
        <v>-486</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-230</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-34</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-75</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-73</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-187</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116</v>
      </c>
      <c r="S115" s="279"/>
      <c r="T115" s="333">
        <v>-116</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-169</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-1088</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-225</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-3866</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-312</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-132</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-517</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-187</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-5239</v>
      </c>
      <c r="S132" s="332"/>
      <c r="T132" s="332">
        <f>SUM(T101:T130)</f>
        <v>-2798</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AUGUST 2014</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116</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116</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-116</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79</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434891</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434891</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+'May 14'!Q183</f>
        <v>44096</v>
      </c>
      <c r="R181" s="333">
        <f>+'May 14'!R183</f>
        <v>5995</v>
      </c>
      <c r="S181" s="279"/>
      <c r="T181" s="333">
        <f>Q181+R181</f>
        <v>50091</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f>98+127</f>
        <v>225</v>
      </c>
      <c r="R182" s="332">
        <v>0</v>
      </c>
      <c r="S182" s="279"/>
      <c r="T182" s="333">
        <f>Q182+R182</f>
        <v>225</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44321</v>
      </c>
      <c r="R183" s="333">
        <f>R182+R181</f>
        <v>5995</v>
      </c>
      <c r="S183" s="279"/>
      <c r="T183" s="333">
        <f>Q183+R183</f>
        <v>50316</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109740.48000000001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3.4427374301675977</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1.67</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16.045871559633028</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8.8000000000000007</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6.3076923076923075</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4.33</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AUGUST 2014</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41880</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2.2349999999999998E-2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9.8990518704141772E-3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1.2450948129585821E-2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6.3604641911321766E-3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13.1</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1.1909389527284301E-2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9.6299999999999997E-2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94</v>
      </c>
      <c r="R217" s="358">
        <f>+R269</f>
        <v>15121</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116</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'May 14'!R223+R222</f>
        <v>5288</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7</v>
      </c>
      <c r="R229" s="358">
        <v>515</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0.17</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3219</v>
      </c>
      <c r="Q236" s="378">
        <f t="shared" ref="Q236:Q243" si="2">P236/$P$245</f>
        <v>0.99659442724458203</v>
      </c>
      <c r="R236" s="237">
        <f t="shared" ref="R236:R243" si="3">+R248+R260+R272</f>
        <v>433447</v>
      </c>
      <c r="S236" s="378">
        <f t="shared" ref="S236:S243" si="4">R236/$R$245</f>
        <v>0.99667962776879726</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2</v>
      </c>
      <c r="Q237" s="378">
        <f t="shared" si="2"/>
        <v>6.1919504643962852E-4</v>
      </c>
      <c r="R237" s="333">
        <f t="shared" si="3"/>
        <v>133</v>
      </c>
      <c r="S237" s="378">
        <f t="shared" si="4"/>
        <v>3.0582375813709644E-4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3.0959752321981426E-4</v>
      </c>
      <c r="R238" s="333">
        <f t="shared" si="3"/>
        <v>133</v>
      </c>
      <c r="S238" s="378">
        <f t="shared" si="4"/>
        <v>3.0582375813709644E-4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1</v>
      </c>
      <c r="Q239" s="378">
        <f t="shared" si="2"/>
        <v>3.0959752321981426E-4</v>
      </c>
      <c r="R239" s="333">
        <f t="shared" si="3"/>
        <v>130</v>
      </c>
      <c r="S239" s="378">
        <f t="shared" si="4"/>
        <v>2.9892547787836493E-4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6.1919504643962852E-4</v>
      </c>
      <c r="R240" s="333">
        <f t="shared" si="3"/>
        <v>256</v>
      </c>
      <c r="S240" s="378">
        <f t="shared" si="4"/>
        <v>5.8865324874508786E-4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3.0959752321981426E-4</v>
      </c>
      <c r="R241" s="333">
        <f t="shared" si="3"/>
        <v>84</v>
      </c>
      <c r="S241" s="378">
        <f t="shared" si="4"/>
        <v>1.9315184724448195E-4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3</v>
      </c>
      <c r="Q242" s="378">
        <f t="shared" si="2"/>
        <v>9.2879256965944267E-4</v>
      </c>
      <c r="R242" s="333">
        <f t="shared" si="3"/>
        <v>572</v>
      </c>
      <c r="S242" s="378">
        <f t="shared" si="4"/>
        <v>1.3152721026648056E-3</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3.0959752321981426E-4</v>
      </c>
      <c r="R243" s="333">
        <f t="shared" si="3"/>
        <v>136</v>
      </c>
      <c r="S243" s="383">
        <f t="shared" si="4"/>
        <v>3.1272203839582794E-4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3230</v>
      </c>
      <c r="Q245" s="378">
        <f>SUM(Q236:Q244)</f>
        <v>0.99999999999999989</v>
      </c>
      <c r="R245" s="333">
        <f>SUM(R236:R244)</f>
        <v>434891</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3135</v>
      </c>
      <c r="Q248" s="244">
        <f t="shared" ref="Q248:Q255" si="5">P248/$P$257</f>
        <v>0.99968112244897955</v>
      </c>
      <c r="R248" s="237">
        <v>419640</v>
      </c>
      <c r="S248" s="244">
        <f t="shared" ref="S248:S255" si="6">R248/$R$257</f>
        <v>0.99969030659646951</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0</v>
      </c>
      <c r="Q249" s="378">
        <f t="shared" si="5"/>
        <v>0</v>
      </c>
      <c r="R249" s="333">
        <v>0</v>
      </c>
      <c r="S249" s="378">
        <f t="shared" si="6"/>
        <v>0</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1</v>
      </c>
      <c r="Q251" s="378">
        <f t="shared" si="5"/>
        <v>3.1887755102040814E-4</v>
      </c>
      <c r="R251" s="333">
        <v>130</v>
      </c>
      <c r="S251" s="378">
        <f t="shared" si="6"/>
        <v>3.0969340353050479E-4</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3136</v>
      </c>
      <c r="Q257" s="378">
        <f>SUM(Q248:Q256)</f>
        <v>1</v>
      </c>
      <c r="R257" s="333">
        <f>SUM(R248:R256)</f>
        <v>419770</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84</v>
      </c>
      <c r="Q260" s="244">
        <f t="shared" ref="Q260:Q267" si="7">P260/$P$269</f>
        <v>0.8936170212765957</v>
      </c>
      <c r="R260" s="237">
        <v>13807</v>
      </c>
      <c r="S260" s="244">
        <f t="shared" ref="S260:S267" si="8">R260/$R$269</f>
        <v>0.91310098538456452</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2</v>
      </c>
      <c r="Q261" s="378">
        <f t="shared" si="7"/>
        <v>2.1276595744680851E-2</v>
      </c>
      <c r="R261" s="333">
        <v>133</v>
      </c>
      <c r="S261" s="378">
        <f t="shared" si="8"/>
        <v>8.795714569142252E-3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1</v>
      </c>
      <c r="Q262" s="378">
        <f t="shared" si="7"/>
        <v>1.0638297872340425E-2</v>
      </c>
      <c r="R262" s="333">
        <v>133</v>
      </c>
      <c r="S262" s="378">
        <f t="shared" si="8"/>
        <v>8.795714569142252E-3</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2.1276595744680851E-2</v>
      </c>
      <c r="R264" s="333">
        <v>256</v>
      </c>
      <c r="S264" s="378">
        <f t="shared" si="8"/>
        <v>1.6930097215792608E-2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1.0638297872340425E-2</v>
      </c>
      <c r="R265" s="333">
        <v>84</v>
      </c>
      <c r="S265" s="378">
        <f t="shared" si="8"/>
        <v>5.5551881489319492E-3</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3</v>
      </c>
      <c r="Q266" s="378">
        <f t="shared" si="7"/>
        <v>3.1914893617021274E-2</v>
      </c>
      <c r="R266" s="333">
        <v>572</v>
      </c>
      <c r="S266" s="378">
        <f t="shared" si="8"/>
        <v>3.7828185966536608E-2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1.0638297872340425E-2</v>
      </c>
      <c r="R267" s="333">
        <v>136</v>
      </c>
      <c r="S267" s="378">
        <f t="shared" si="8"/>
        <v>8.994114145889822E-3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94</v>
      </c>
      <c r="Q269" s="378">
        <f>SUM(Q260:Q268)</f>
        <v>0.99999999999999989</v>
      </c>
      <c r="R269" s="333">
        <f>SUM(R260:R268)</f>
        <v>15121</v>
      </c>
      <c r="S269" s="378">
        <f>SUM(S260:S268)</f>
        <v>1.0000000000000002</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3230</v>
      </c>
      <c r="Q283" s="378"/>
      <c r="R283" s="382">
        <f>+R281+R269+R257</f>
        <v>434891</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AUGUST 2014</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200-000000000000}"/>
    <hyperlink ref="N233" r:id="rId2" xr:uid="{00000000-0004-0000-2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0.67269999999999996</v>
      </c>
      <c r="R16" s="222" t="s">
        <v>147</v>
      </c>
      <c r="S16" s="221">
        <v>0.32729999999999998</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41992</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139963.78</v>
      </c>
      <c r="E32" s="289"/>
      <c r="F32" s="290">
        <f>F31*F38</f>
        <v>105000</v>
      </c>
      <c r="G32" s="290"/>
      <c r="H32" s="295">
        <f>H31*H38</f>
        <v>222000</v>
      </c>
      <c r="I32" s="290"/>
      <c r="J32" s="290">
        <f>J31*J38</f>
        <v>27020.6168</v>
      </c>
      <c r="K32" s="290"/>
      <c r="L32" s="295">
        <f>L31*L38</f>
        <v>16996.839599999999</v>
      </c>
      <c r="M32" s="290"/>
      <c r="N32" s="296">
        <f>N31*N38</f>
        <v>44889.089200000002</v>
      </c>
      <c r="O32" s="290"/>
      <c r="P32" s="295">
        <f>P31*P38</f>
        <v>23969.901999999998</v>
      </c>
      <c r="Q32" s="290"/>
      <c r="R32" s="290"/>
      <c r="S32" s="291"/>
      <c r="T32" s="290"/>
      <c r="U32" s="292"/>
      <c r="V32" s="5"/>
    </row>
    <row r="33" spans="1:22" x14ac:dyDescent="0.35">
      <c r="A33" s="278"/>
      <c r="B33" s="286" t="s">
        <v>141</v>
      </c>
      <c r="C33" s="289"/>
      <c r="D33" s="299">
        <f>D37*D31</f>
        <v>135339.71</v>
      </c>
      <c r="E33" s="293"/>
      <c r="F33" s="297">
        <f>F37*F31</f>
        <v>105000</v>
      </c>
      <c r="G33" s="297"/>
      <c r="H33" s="300">
        <f>H31*H37</f>
        <v>222000</v>
      </c>
      <c r="I33" s="297"/>
      <c r="J33" s="297">
        <f>J31*J37</f>
        <v>26806.828399999999</v>
      </c>
      <c r="K33" s="297"/>
      <c r="L33" s="300">
        <f>L31*L37</f>
        <v>16862.359799999998</v>
      </c>
      <c r="M33" s="297"/>
      <c r="N33" s="297">
        <f>N31*N37</f>
        <v>44533.924599999998</v>
      </c>
      <c r="O33" s="297"/>
      <c r="P33" s="300">
        <f>P31*P37</f>
        <v>23780.251</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80300.528820799998</v>
      </c>
      <c r="E35" s="289"/>
      <c r="F35" s="290">
        <f>F34*F38</f>
        <v>105000</v>
      </c>
      <c r="G35" s="290"/>
      <c r="H35" s="290">
        <f>H34*H38</f>
        <v>150000</v>
      </c>
      <c r="I35" s="290"/>
      <c r="J35" s="290">
        <f>J32</f>
        <v>27020.6168</v>
      </c>
      <c r="K35" s="290"/>
      <c r="L35" s="290">
        <f>L34*L38</f>
        <v>11484.6337728</v>
      </c>
      <c r="M35" s="290"/>
      <c r="N35" s="290">
        <f>N32</f>
        <v>44889.089200000002</v>
      </c>
      <c r="O35" s="290"/>
      <c r="P35" s="290">
        <f>P34*P38</f>
        <v>16195.809056799999</v>
      </c>
      <c r="Q35" s="290"/>
      <c r="R35" s="290"/>
      <c r="S35" s="291"/>
      <c r="T35" s="290">
        <f>SUM(C35:P35)</f>
        <v>434890.67765039997</v>
      </c>
      <c r="U35" s="292"/>
      <c r="V35" s="5"/>
    </row>
    <row r="36" spans="1:22" x14ac:dyDescent="0.35">
      <c r="A36" s="283"/>
      <c r="B36" s="286" t="s">
        <v>298</v>
      </c>
      <c r="C36" s="293"/>
      <c r="D36" s="297">
        <f>D37*D34</f>
        <v>77647.590565599996</v>
      </c>
      <c r="E36" s="293"/>
      <c r="F36" s="297">
        <f>F37*F34</f>
        <v>105000</v>
      </c>
      <c r="G36" s="297"/>
      <c r="H36" s="297">
        <f>H37*H34</f>
        <v>150000</v>
      </c>
      <c r="I36" s="297"/>
      <c r="J36" s="297">
        <f>J37*J34</f>
        <v>26806.828399999999</v>
      </c>
      <c r="K36" s="297"/>
      <c r="L36" s="297">
        <f>L37*L34</f>
        <v>11393.766806399999</v>
      </c>
      <c r="M36" s="297"/>
      <c r="N36" s="297">
        <f>N37*N34</f>
        <v>44533.924599999998</v>
      </c>
      <c r="O36" s="297"/>
      <c r="P36" s="297">
        <f>P34*P37</f>
        <v>16067.667048399999</v>
      </c>
      <c r="Q36" s="322"/>
      <c r="R36" s="322"/>
      <c r="S36" s="291"/>
      <c r="T36" s="297">
        <f>SUM(C36:P36)</f>
        <v>431449.77742039989</v>
      </c>
      <c r="U36" s="292"/>
      <c r="V36" s="5"/>
    </row>
    <row r="37" spans="1:22" x14ac:dyDescent="0.35">
      <c r="A37" s="305"/>
      <c r="B37" s="306" t="s">
        <v>137</v>
      </c>
      <c r="C37" s="307"/>
      <c r="D37" s="308">
        <v>0.1230361</v>
      </c>
      <c r="E37" s="309"/>
      <c r="F37" s="308">
        <v>1</v>
      </c>
      <c r="G37" s="308"/>
      <c r="H37" s="308">
        <v>1</v>
      </c>
      <c r="I37" s="308"/>
      <c r="J37" s="308">
        <v>0.86473639999999996</v>
      </c>
      <c r="K37" s="308"/>
      <c r="L37" s="308">
        <v>0.86473639999999996</v>
      </c>
      <c r="M37" s="308"/>
      <c r="N37" s="308">
        <v>0.86473639999999996</v>
      </c>
      <c r="O37" s="308"/>
      <c r="P37" s="308">
        <v>0.86473639999999996</v>
      </c>
      <c r="Q37" s="310"/>
      <c r="R37" s="310"/>
      <c r="S37" s="311"/>
      <c r="T37" s="311"/>
      <c r="U37" s="312"/>
      <c r="V37" s="5"/>
    </row>
    <row r="38" spans="1:22" x14ac:dyDescent="0.35">
      <c r="A38" s="305"/>
      <c r="B38" s="306" t="s">
        <v>138</v>
      </c>
      <c r="C38" s="307"/>
      <c r="D38" s="308">
        <v>0.12723979999999999</v>
      </c>
      <c r="E38" s="309"/>
      <c r="F38" s="308">
        <v>1</v>
      </c>
      <c r="G38" s="308"/>
      <c r="H38" s="308">
        <v>1</v>
      </c>
      <c r="I38" s="308"/>
      <c r="J38" s="308">
        <v>0.87163279999999999</v>
      </c>
      <c r="K38" s="308"/>
      <c r="L38" s="308">
        <v>0.87163279999999999</v>
      </c>
      <c r="M38" s="308"/>
      <c r="N38" s="308">
        <v>0.87163279999999999</v>
      </c>
      <c r="O38" s="308"/>
      <c r="P38" s="308">
        <v>0.87163279999999999</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2.447E-3</v>
      </c>
      <c r="E40" s="279"/>
      <c r="F40" s="316">
        <v>8.8337999999999993E-3</v>
      </c>
      <c r="G40" s="315"/>
      <c r="H40" s="316">
        <v>4.0400000000000002E-3</v>
      </c>
      <c r="I40" s="315"/>
      <c r="J40" s="316">
        <v>1.10338E-2</v>
      </c>
      <c r="K40" s="315"/>
      <c r="L40" s="316">
        <v>6.2399999999999999E-3</v>
      </c>
      <c r="M40" s="315"/>
      <c r="N40" s="316">
        <v>1.6633800000000001E-2</v>
      </c>
      <c r="O40" s="315"/>
      <c r="P40" s="316">
        <v>1.184E-2</v>
      </c>
      <c r="Q40" s="315"/>
      <c r="R40" s="316"/>
      <c r="S40" s="281"/>
      <c r="T40" s="287"/>
      <c r="U40" s="282"/>
      <c r="V40" s="5"/>
    </row>
    <row r="41" spans="1:22" x14ac:dyDescent="0.35">
      <c r="A41" s="278"/>
      <c r="B41" s="279" t="s">
        <v>13</v>
      </c>
      <c r="C41" s="279"/>
      <c r="D41" s="316">
        <v>2.4499999999999999E-3</v>
      </c>
      <c r="E41" s="279"/>
      <c r="F41" s="316">
        <v>8.7813000000000006E-3</v>
      </c>
      <c r="G41" s="315"/>
      <c r="H41" s="316">
        <v>5.62E-3</v>
      </c>
      <c r="I41" s="315"/>
      <c r="J41" s="316">
        <v>1.0981299999999999E-2</v>
      </c>
      <c r="K41" s="315"/>
      <c r="L41" s="316">
        <v>7.8200000000000006E-3</v>
      </c>
      <c r="M41" s="315"/>
      <c r="N41" s="316">
        <v>1.65813E-2</v>
      </c>
      <c r="O41" s="315"/>
      <c r="P41" s="316">
        <v>1.342E-2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6.7894000000000001E-3</v>
      </c>
      <c r="E43" s="279"/>
      <c r="F43" s="316">
        <f>+F40</f>
        <v>8.8337999999999993E-3</v>
      </c>
      <c r="G43" s="315"/>
      <c r="H43" s="316">
        <v>9.2838E-3</v>
      </c>
      <c r="I43" s="315"/>
      <c r="J43" s="316">
        <f>+J40</f>
        <v>1.10338E-2</v>
      </c>
      <c r="K43" s="315"/>
      <c r="L43" s="316">
        <v>1.17638E-2</v>
      </c>
      <c r="M43" s="315"/>
      <c r="N43" s="316">
        <f>+N40</f>
        <v>1.6633800000000001E-2</v>
      </c>
      <c r="O43" s="315"/>
      <c r="P43" s="316">
        <v>1.7863799999999999E-2</v>
      </c>
      <c r="Q43" s="287"/>
      <c r="R43" s="287"/>
      <c r="S43" s="281"/>
      <c r="T43" s="315">
        <f>SUMPRODUCT(D43:P43,D35:P35)/T35</f>
        <v>9.9669859008762792E-3</v>
      </c>
      <c r="U43" s="282"/>
      <c r="V43" s="5"/>
    </row>
    <row r="44" spans="1:22" x14ac:dyDescent="0.35">
      <c r="A44" s="278"/>
      <c r="B44" s="279" t="s">
        <v>301</v>
      </c>
      <c r="C44" s="317"/>
      <c r="D44" s="316">
        <v>6.7368999999999997E-3</v>
      </c>
      <c r="E44" s="279"/>
      <c r="F44" s="316">
        <f>+F41</f>
        <v>8.7813000000000006E-3</v>
      </c>
      <c r="G44" s="315"/>
      <c r="H44" s="316">
        <v>9.2312999999999996E-3</v>
      </c>
      <c r="I44" s="315"/>
      <c r="J44" s="316">
        <f>+J41</f>
        <v>1.0981299999999999E-2</v>
      </c>
      <c r="K44" s="315"/>
      <c r="L44" s="316">
        <v>1.1711299999999999E-2</v>
      </c>
      <c r="M44" s="315"/>
      <c r="N44" s="316">
        <f>+N41</f>
        <v>1.65813E-2</v>
      </c>
      <c r="O44" s="315"/>
      <c r="P44" s="316">
        <v>1.7811299999999999E-2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0.29701759356442914</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41988</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41806</v>
      </c>
      <c r="S57" s="328"/>
      <c r="T57" s="327">
        <v>41896</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41897</v>
      </c>
      <c r="S58" s="328"/>
      <c r="T58" s="327">
        <v>41987</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41974</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338</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434891</v>
      </c>
      <c r="M68" s="332"/>
      <c r="N68" s="332">
        <f>3441+42</f>
        <v>3483</v>
      </c>
      <c r="O68" s="332"/>
      <c r="P68" s="332">
        <v>42</v>
      </c>
      <c r="Q68" s="332"/>
      <c r="R68" s="332">
        <v>0</v>
      </c>
      <c r="S68" s="332"/>
      <c r="T68" s="333">
        <f>+L68-N68+P68-R68</f>
        <v>431450</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434891</v>
      </c>
      <c r="M71" s="332"/>
      <c r="N71" s="332">
        <f>SUM(N68:N70)</f>
        <v>3483</v>
      </c>
      <c r="O71" s="332"/>
      <c r="P71" s="332">
        <f>SUM(P68:P70)</f>
        <v>42</v>
      </c>
      <c r="Q71" s="332"/>
      <c r="R71" s="332">
        <f>SUM(R68:R70)</f>
        <v>0</v>
      </c>
      <c r="S71" s="332"/>
      <c r="T71" s="332">
        <f>SUM(T68:T70)</f>
        <v>431450</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434891</v>
      </c>
      <c r="M84" s="332"/>
      <c r="N84" s="332"/>
      <c r="O84" s="332"/>
      <c r="P84" s="332"/>
      <c r="Q84" s="332"/>
      <c r="R84" s="332"/>
      <c r="S84" s="332"/>
      <c r="T84" s="332">
        <f>SUM(T71:T83)</f>
        <v>431450</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41971</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3483-69</f>
        <v>3414</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2077+1090-478-227</f>
        <v>2462</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11+38</f>
        <v>49</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24</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271</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3414</v>
      </c>
      <c r="S96" s="279"/>
      <c r="T96" s="332">
        <f>SUM(T88:T95)</f>
        <v>2806</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-13</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3414</v>
      </c>
      <c r="S100" s="279"/>
      <c r="T100" s="332">
        <f>T96+T98+T97+T99</f>
        <v>2793</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-166-143-6</f>
        <v>-315</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-714+231</f>
        <v>-483</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-231</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-34</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-74</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-72</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-186</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69</v>
      </c>
      <c r="S115" s="279"/>
      <c r="T115" s="333">
        <v>-69</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-165</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-1155</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-42</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-2653</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-214</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-91</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-355</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-128</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-3483</v>
      </c>
      <c r="S132" s="332"/>
      <c r="T132" s="332">
        <f>SUM(T101:T130)</f>
        <v>-2793</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NOVEMBER 2014</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69</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69</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-69</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13</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431450</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431450</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+'August 14'!Q183</f>
        <v>44321</v>
      </c>
      <c r="R181" s="333">
        <f>+'August 14'!R183</f>
        <v>5995</v>
      </c>
      <c r="S181" s="279"/>
      <c r="T181" s="333">
        <f>Q181+R181</f>
        <v>50316</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42</v>
      </c>
      <c r="R182" s="332">
        <v>0</v>
      </c>
      <c r="S182" s="279"/>
      <c r="T182" s="333">
        <f>Q182+R182</f>
        <v>42</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44363</v>
      </c>
      <c r="R183" s="333">
        <f>R182+R181</f>
        <v>5995</v>
      </c>
      <c r="S183" s="279"/>
      <c r="T183" s="333">
        <f>Q183+R183</f>
        <v>50358</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109698.48000000001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3.4677871148459385</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1.68</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16.314814814814813</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8.8699999999999992</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6.4108527131782944</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4.3499999999999996</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NOVEMBER 2014</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41971</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2.2460000000000001E-2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9.9669859008762792E-3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1.2493014099123722E-2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6.4222989208790248E-3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12.88</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8.0089033803872698E-3</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9.4600000000000004E-2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17</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89</v>
      </c>
      <c r="R217" s="358">
        <f>+R269</f>
        <v>14799</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69</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'August 14'!R223+R222</f>
        <v>5357</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3</v>
      </c>
      <c r="R229" s="358">
        <v>245</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7.63</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3192</v>
      </c>
      <c r="Q236" s="378">
        <f t="shared" ref="Q236:Q243" si="2">P236/$P$245</f>
        <v>0.99718837863167764</v>
      </c>
      <c r="R236" s="237">
        <f t="shared" ref="R236:R243" si="3">+R248+R260+R272</f>
        <v>430139</v>
      </c>
      <c r="S236" s="378">
        <f t="shared" ref="S236:S243" si="4">R236/$R$245</f>
        <v>0.99696140920152976</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2</v>
      </c>
      <c r="Q237" s="378">
        <f t="shared" si="2"/>
        <v>6.248047485160887E-4</v>
      </c>
      <c r="R237" s="333">
        <f t="shared" si="3"/>
        <v>159</v>
      </c>
      <c r="S237" s="378">
        <f t="shared" si="4"/>
        <v>3.6852474214856879E-4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3.1240237425804435E-4</v>
      </c>
      <c r="R238" s="333">
        <f t="shared" si="3"/>
        <v>133</v>
      </c>
      <c r="S238" s="378">
        <f t="shared" si="4"/>
        <v>3.0826283462741916E-4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1</v>
      </c>
      <c r="Q239" s="378">
        <f t="shared" si="2"/>
        <v>3.1240237425804435E-4</v>
      </c>
      <c r="R239" s="333">
        <f t="shared" si="3"/>
        <v>216</v>
      </c>
      <c r="S239" s="378">
        <f t="shared" si="4"/>
        <v>5.0063738556031985E-4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1</v>
      </c>
      <c r="Q240" s="378">
        <f t="shared" si="2"/>
        <v>3.1240237425804435E-4</v>
      </c>
      <c r="R240" s="333">
        <f t="shared" si="3"/>
        <v>143</v>
      </c>
      <c r="S240" s="378">
        <f t="shared" si="4"/>
        <v>3.3144049136632286E-4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2</v>
      </c>
      <c r="Q241" s="378">
        <f t="shared" si="2"/>
        <v>6.248047485160887E-4</v>
      </c>
      <c r="R241" s="333">
        <f t="shared" si="3"/>
        <v>440</v>
      </c>
      <c r="S241" s="378">
        <f t="shared" si="4"/>
        <v>1.0198168965117626E-3</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3.1240237425804435E-4</v>
      </c>
      <c r="R242" s="333">
        <f t="shared" si="3"/>
        <v>84</v>
      </c>
      <c r="S242" s="378">
        <f t="shared" si="4"/>
        <v>1.9469231660679105E-4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3.1240237425804435E-4</v>
      </c>
      <c r="R243" s="333">
        <f t="shared" si="3"/>
        <v>136</v>
      </c>
      <c r="S243" s="383">
        <f t="shared" si="4"/>
        <v>3.1521613164909028E-4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3201</v>
      </c>
      <c r="Q245" s="378">
        <f>SUM(Q236:Q244)</f>
        <v>0.99999999999999989</v>
      </c>
      <c r="R245" s="333">
        <f>SUM(R236:R244)</f>
        <v>431450</v>
      </c>
      <c r="S245" s="378">
        <f>SUM(S236:S244)</f>
        <v>0.99999999999999989</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3110</v>
      </c>
      <c r="Q248" s="244">
        <f t="shared" ref="Q248:Q255" si="5">P248/$P$257</f>
        <v>0.99935732647814912</v>
      </c>
      <c r="R248" s="237">
        <v>416492</v>
      </c>
      <c r="S248" s="244">
        <f t="shared" ref="S248:S255" si="6">R248/$R$257</f>
        <v>0.99961838565130046</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2</v>
      </c>
      <c r="Q249" s="378">
        <f t="shared" si="5"/>
        <v>6.426735218508997E-4</v>
      </c>
      <c r="R249" s="333">
        <v>159</v>
      </c>
      <c r="S249" s="378">
        <f t="shared" si="6"/>
        <v>3.8161434869951112E-4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3112</v>
      </c>
      <c r="Q257" s="378">
        <f>SUM(Q248:Q256)</f>
        <v>1</v>
      </c>
      <c r="R257" s="333">
        <f>SUM(R248:R256)</f>
        <v>416651</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82</v>
      </c>
      <c r="Q260" s="244">
        <f t="shared" ref="Q260:Q267" si="7">P260/$P$269</f>
        <v>0.9213483146067416</v>
      </c>
      <c r="R260" s="237">
        <v>13647</v>
      </c>
      <c r="S260" s="244">
        <f t="shared" ref="S260:S267" si="8">R260/$R$269</f>
        <v>0.92215690249341176</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0</v>
      </c>
      <c r="Q261" s="378">
        <f t="shared" si="7"/>
        <v>0</v>
      </c>
      <c r="R261" s="333">
        <v>0</v>
      </c>
      <c r="S261" s="378">
        <f t="shared" si="8"/>
        <v>0</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1</v>
      </c>
      <c r="Q262" s="378">
        <f t="shared" si="7"/>
        <v>1.1235955056179775E-2</v>
      </c>
      <c r="R262" s="333">
        <v>133</v>
      </c>
      <c r="S262" s="378">
        <f t="shared" si="8"/>
        <v>8.9870937225488209E-3</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1</v>
      </c>
      <c r="Q263" s="378">
        <f t="shared" si="7"/>
        <v>1.1235955056179775E-2</v>
      </c>
      <c r="R263" s="333">
        <v>216</v>
      </c>
      <c r="S263" s="378">
        <f t="shared" si="8"/>
        <v>1.4595580782485303E-2</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1.1235955056179775E-2</v>
      </c>
      <c r="R264" s="333">
        <v>143</v>
      </c>
      <c r="S264" s="378">
        <f t="shared" si="8"/>
        <v>9.6628150550712878E-3</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2</v>
      </c>
      <c r="Q265" s="378">
        <f t="shared" si="7"/>
        <v>2.247191011235955E-2</v>
      </c>
      <c r="R265" s="333">
        <v>440</v>
      </c>
      <c r="S265" s="378">
        <f t="shared" si="8"/>
        <v>2.9731738630988581E-2</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1.1235955056179775E-2</v>
      </c>
      <c r="R266" s="333">
        <v>84</v>
      </c>
      <c r="S266" s="378">
        <f t="shared" si="8"/>
        <v>5.6760591931887287E-3</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1.1235955056179775E-2</v>
      </c>
      <c r="R267" s="333">
        <v>136</v>
      </c>
      <c r="S267" s="378">
        <f t="shared" si="8"/>
        <v>9.1898101223055612E-3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89</v>
      </c>
      <c r="Q269" s="378">
        <f>SUM(Q260:Q268)</f>
        <v>1.0000000000000002</v>
      </c>
      <c r="R269" s="333">
        <f>SUM(R260:R268)</f>
        <v>14799</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3201</v>
      </c>
      <c r="Q283" s="378"/>
      <c r="R283" s="382">
        <f>+R281+R269+R257</f>
        <v>431450</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NOVEMBER 2014</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300-000000000000}"/>
    <hyperlink ref="N233" r:id="rId2" xr:uid="{00000000-0004-0000-2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0.67490000000000006</v>
      </c>
      <c r="R16" s="222" t="s">
        <v>147</v>
      </c>
      <c r="S16" s="221">
        <v>0.3251</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42086</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321</v>
      </c>
      <c r="O27" s="384"/>
      <c r="P27" s="384" t="s">
        <v>321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135339.71</v>
      </c>
      <c r="E32" s="289"/>
      <c r="F32" s="290">
        <f>F31*F38</f>
        <v>105000</v>
      </c>
      <c r="G32" s="290"/>
      <c r="H32" s="295">
        <f>H31*H38</f>
        <v>222000</v>
      </c>
      <c r="I32" s="290"/>
      <c r="J32" s="290">
        <f>J31*J38</f>
        <v>26806.828399999999</v>
      </c>
      <c r="K32" s="290"/>
      <c r="L32" s="295">
        <f>L31*L38</f>
        <v>16862.359799999998</v>
      </c>
      <c r="M32" s="290"/>
      <c r="N32" s="296">
        <f>N31*N38</f>
        <v>44533.924599999998</v>
      </c>
      <c r="O32" s="290"/>
      <c r="P32" s="295">
        <f>P31*P38</f>
        <v>23780.251</v>
      </c>
      <c r="Q32" s="290"/>
      <c r="R32" s="290"/>
      <c r="S32" s="291"/>
      <c r="T32" s="290"/>
      <c r="U32" s="292"/>
      <c r="V32" s="5"/>
    </row>
    <row r="33" spans="1:22" x14ac:dyDescent="0.35">
      <c r="A33" s="278"/>
      <c r="B33" s="286" t="s">
        <v>141</v>
      </c>
      <c r="C33" s="289"/>
      <c r="D33" s="299">
        <f>D37*D31</f>
        <v>128874.9</v>
      </c>
      <c r="E33" s="293"/>
      <c r="F33" s="297">
        <f>F37*F31</f>
        <v>105000</v>
      </c>
      <c r="G33" s="297"/>
      <c r="H33" s="300">
        <f>H31*H37</f>
        <v>222000</v>
      </c>
      <c r="I33" s="297"/>
      <c r="J33" s="297">
        <f>J31*J37</f>
        <v>26507.9326</v>
      </c>
      <c r="K33" s="297"/>
      <c r="L33" s="300">
        <f>L31*L37</f>
        <v>16674.344700000001</v>
      </c>
      <c r="M33" s="297"/>
      <c r="N33" s="297">
        <f>N31*N37</f>
        <v>44037.371900000006</v>
      </c>
      <c r="O33" s="297"/>
      <c r="P33" s="300">
        <f>P31*P37</f>
        <v>23515.101500000001</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77647.590565599996</v>
      </c>
      <c r="E35" s="289"/>
      <c r="F35" s="290">
        <f>F34*F38</f>
        <v>105000</v>
      </c>
      <c r="G35" s="290"/>
      <c r="H35" s="290">
        <f>H34*H38</f>
        <v>150000</v>
      </c>
      <c r="I35" s="290"/>
      <c r="J35" s="290">
        <f>J32</f>
        <v>26806.828399999999</v>
      </c>
      <c r="K35" s="290"/>
      <c r="L35" s="290">
        <f>L34*L38</f>
        <v>11393.766806399999</v>
      </c>
      <c r="M35" s="290"/>
      <c r="N35" s="290">
        <f>N32</f>
        <v>44533.924599999998</v>
      </c>
      <c r="O35" s="290"/>
      <c r="P35" s="290">
        <f>P34*P38</f>
        <v>16067.667048399999</v>
      </c>
      <c r="Q35" s="290"/>
      <c r="R35" s="290"/>
      <c r="S35" s="291"/>
      <c r="T35" s="290">
        <f>SUM(C35:P35)</f>
        <v>431449.77742039989</v>
      </c>
      <c r="U35" s="292"/>
      <c r="V35" s="5"/>
    </row>
    <row r="36" spans="1:22" x14ac:dyDescent="0.35">
      <c r="A36" s="283"/>
      <c r="B36" s="286" t="s">
        <v>298</v>
      </c>
      <c r="C36" s="293"/>
      <c r="D36" s="297">
        <f>D37*D34</f>
        <v>73938.576264000003</v>
      </c>
      <c r="E36" s="293"/>
      <c r="F36" s="297">
        <f>F37*F34</f>
        <v>105000</v>
      </c>
      <c r="G36" s="297"/>
      <c r="H36" s="297">
        <f>H37*H34</f>
        <v>150000</v>
      </c>
      <c r="I36" s="297"/>
      <c r="J36" s="297">
        <f>J37*J34</f>
        <v>26507.9326</v>
      </c>
      <c r="K36" s="297"/>
      <c r="L36" s="297">
        <f>L37*L34</f>
        <v>11266.726449600001</v>
      </c>
      <c r="M36" s="297"/>
      <c r="N36" s="297">
        <f>N37*N34</f>
        <v>44037.371900000006</v>
      </c>
      <c r="O36" s="297"/>
      <c r="P36" s="297">
        <f>P34*P37</f>
        <v>15888.512762600001</v>
      </c>
      <c r="Q36" s="322"/>
      <c r="R36" s="322"/>
      <c r="S36" s="291"/>
      <c r="T36" s="297">
        <f>SUM(C36:P36)</f>
        <v>426639.11997620005</v>
      </c>
      <c r="U36" s="292"/>
      <c r="V36" s="5"/>
    </row>
    <row r="37" spans="1:22" x14ac:dyDescent="0.35">
      <c r="A37" s="305"/>
      <c r="B37" s="306" t="s">
        <v>137</v>
      </c>
      <c r="C37" s="307"/>
      <c r="D37" s="308">
        <v>0.117159</v>
      </c>
      <c r="E37" s="309"/>
      <c r="F37" s="308">
        <v>1</v>
      </c>
      <c r="G37" s="308"/>
      <c r="H37" s="308">
        <v>1</v>
      </c>
      <c r="I37" s="308"/>
      <c r="J37" s="308">
        <v>0.85509460000000004</v>
      </c>
      <c r="K37" s="308"/>
      <c r="L37" s="308">
        <v>0.85509460000000004</v>
      </c>
      <c r="M37" s="308"/>
      <c r="N37" s="308">
        <v>0.85509460000000004</v>
      </c>
      <c r="O37" s="308"/>
      <c r="P37" s="308">
        <v>0.85509460000000004</v>
      </c>
      <c r="Q37" s="310"/>
      <c r="R37" s="310"/>
      <c r="S37" s="311"/>
      <c r="T37" s="311"/>
      <c r="U37" s="312"/>
      <c r="V37" s="5"/>
    </row>
    <row r="38" spans="1:22" x14ac:dyDescent="0.35">
      <c r="A38" s="305"/>
      <c r="B38" s="306" t="s">
        <v>138</v>
      </c>
      <c r="C38" s="307"/>
      <c r="D38" s="308">
        <v>0.1230361</v>
      </c>
      <c r="E38" s="309"/>
      <c r="F38" s="308">
        <v>1</v>
      </c>
      <c r="G38" s="308"/>
      <c r="H38" s="308">
        <v>1</v>
      </c>
      <c r="I38" s="308"/>
      <c r="J38" s="308">
        <v>0.86473639999999996</v>
      </c>
      <c r="K38" s="308"/>
      <c r="L38" s="308">
        <v>0.86473639999999996</v>
      </c>
      <c r="M38" s="308"/>
      <c r="N38" s="308">
        <v>0.86473639999999996</v>
      </c>
      <c r="O38" s="308"/>
      <c r="P38" s="308">
        <v>0.86473639999999996</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2.63E-3</v>
      </c>
      <c r="E40" s="279"/>
      <c r="F40" s="316">
        <v>8.8024999999999996E-3</v>
      </c>
      <c r="G40" s="315"/>
      <c r="H40" s="316">
        <v>4.0200000000000001E-3</v>
      </c>
      <c r="I40" s="315"/>
      <c r="J40" s="316">
        <v>1.10025E-2</v>
      </c>
      <c r="K40" s="315"/>
      <c r="L40" s="316">
        <v>6.2199999999999998E-3</v>
      </c>
      <c r="M40" s="315"/>
      <c r="N40" s="316">
        <v>1.6602499999999999E-2</v>
      </c>
      <c r="O40" s="315"/>
      <c r="P40" s="316">
        <v>1.1820000000000001E-2</v>
      </c>
      <c r="Q40" s="315"/>
      <c r="R40" s="316"/>
      <c r="S40" s="281"/>
      <c r="T40" s="287"/>
      <c r="U40" s="282"/>
      <c r="V40" s="5"/>
    </row>
    <row r="41" spans="1:22" x14ac:dyDescent="0.35">
      <c r="A41" s="278"/>
      <c r="B41" s="279" t="s">
        <v>13</v>
      </c>
      <c r="C41" s="279"/>
      <c r="D41" s="316">
        <v>2.447E-3</v>
      </c>
      <c r="E41" s="279"/>
      <c r="F41" s="316">
        <v>8.8337999999999993E-3</v>
      </c>
      <c r="G41" s="315"/>
      <c r="H41" s="316">
        <v>4.0400000000000002E-3</v>
      </c>
      <c r="I41" s="315"/>
      <c r="J41" s="316">
        <v>1.10338E-2</v>
      </c>
      <c r="K41" s="315"/>
      <c r="L41" s="316">
        <v>6.2399999999999999E-3</v>
      </c>
      <c r="M41" s="315"/>
      <c r="N41" s="316">
        <v>1.6633800000000001E-2</v>
      </c>
      <c r="O41" s="315"/>
      <c r="P41" s="316">
        <v>1.184E-2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6.7581000000000004E-3</v>
      </c>
      <c r="E43" s="279"/>
      <c r="F43" s="316">
        <f>+F40</f>
        <v>8.8024999999999996E-3</v>
      </c>
      <c r="G43" s="315"/>
      <c r="H43" s="316">
        <v>9.2525000000000003E-3</v>
      </c>
      <c r="I43" s="315"/>
      <c r="J43" s="316">
        <f>+J40</f>
        <v>1.10025E-2</v>
      </c>
      <c r="K43" s="315"/>
      <c r="L43" s="316">
        <v>1.17325E-2</v>
      </c>
      <c r="M43" s="315"/>
      <c r="N43" s="316">
        <f>+N40</f>
        <v>1.6602499999999999E-2</v>
      </c>
      <c r="O43" s="315"/>
      <c r="P43" s="316">
        <v>1.7832500000000001E-2</v>
      </c>
      <c r="Q43" s="287"/>
      <c r="R43" s="287"/>
      <c r="S43" s="281"/>
      <c r="T43" s="315">
        <f>SUMPRODUCT(D43:P43,D35:P35)/T35</f>
        <v>9.9464840654189569E-3</v>
      </c>
      <c r="U43" s="282"/>
      <c r="V43" s="5"/>
    </row>
    <row r="44" spans="1:22" x14ac:dyDescent="0.35">
      <c r="A44" s="278"/>
      <c r="B44" s="279" t="s">
        <v>301</v>
      </c>
      <c r="C44" s="317"/>
      <c r="D44" s="316">
        <v>6.7894000000000001E-3</v>
      </c>
      <c r="E44" s="279"/>
      <c r="F44" s="316">
        <f>+F41</f>
        <v>8.8337999999999993E-3</v>
      </c>
      <c r="G44" s="315"/>
      <c r="H44" s="316">
        <v>9.2838E-3</v>
      </c>
      <c r="I44" s="315"/>
      <c r="J44" s="316">
        <f>+J41</f>
        <v>1.10338E-2</v>
      </c>
      <c r="K44" s="315"/>
      <c r="L44" s="316">
        <v>1.17638E-2</v>
      </c>
      <c r="M44" s="315"/>
      <c r="N44" s="316">
        <f>+N41</f>
        <v>1.6633800000000001E-2</v>
      </c>
      <c r="O44" s="315"/>
      <c r="P44" s="316">
        <v>1.7863799999999999E-2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0.29701759161803926</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42079</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41897</v>
      </c>
      <c r="S57" s="328"/>
      <c r="T57" s="327">
        <v>41987</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41988</v>
      </c>
      <c r="S58" s="328"/>
      <c r="T58" s="327">
        <v>42078</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42065</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339</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431450</v>
      </c>
      <c r="M68" s="332"/>
      <c r="N68" s="332">
        <f>4811+86+145</f>
        <v>5042</v>
      </c>
      <c r="O68" s="332"/>
      <c r="P68" s="332">
        <f>86+145</f>
        <v>231</v>
      </c>
      <c r="Q68" s="332"/>
      <c r="R68" s="332">
        <v>0</v>
      </c>
      <c r="S68" s="332"/>
      <c r="T68" s="333">
        <f>+L68-N68+P68-R68</f>
        <v>426639</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431450</v>
      </c>
      <c r="M71" s="332"/>
      <c r="N71" s="332">
        <f>SUM(N68:N70)</f>
        <v>5042</v>
      </c>
      <c r="O71" s="332"/>
      <c r="P71" s="332">
        <f>SUM(P68:P70)</f>
        <v>231</v>
      </c>
      <c r="Q71" s="332"/>
      <c r="R71" s="332">
        <f>SUM(R68:R70)</f>
        <v>0</v>
      </c>
      <c r="S71" s="332"/>
      <c r="T71" s="332">
        <f>SUM(T68:T70)</f>
        <v>426639</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431450</v>
      </c>
      <c r="M84" s="332"/>
      <c r="N84" s="332"/>
      <c r="O84" s="332"/>
      <c r="P84" s="332"/>
      <c r="Q84" s="332"/>
      <c r="R84" s="332"/>
      <c r="S84" s="332"/>
      <c r="T84" s="332">
        <f>SUM(T71:T83)</f>
        <v>426639</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42062</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5042-155</f>
        <v>4887</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2145+1213-466-362</f>
        <v>2530</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69+39</f>
        <v>108</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26</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201</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4887</v>
      </c>
      <c r="S96" s="279"/>
      <c r="T96" s="332">
        <f>SUM(T88:T95)</f>
        <v>2865</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105</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4887</v>
      </c>
      <c r="S100" s="279"/>
      <c r="T100" s="332">
        <f>T96+T98+T97+T99</f>
        <v>2970</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-163-186-6</f>
        <v>-355</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-707+230</f>
        <v>-477</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-230</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-74</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-71</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-185</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155</v>
      </c>
      <c r="S115" s="279"/>
      <c r="T115" s="333">
        <v>-155</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-162</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-1219</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-231</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-3709</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-299</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-127</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-497</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-179</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-5042</v>
      </c>
      <c r="S132" s="332"/>
      <c r="T132" s="332">
        <f>SUM(T101:T130)</f>
        <v>-2970</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FEBRUARY 2015</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155</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155</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-155</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426639</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426639</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+'Nov 14'!Q183</f>
        <v>44363</v>
      </c>
      <c r="R181" s="333">
        <f>+'Nov 14'!R183</f>
        <v>5995</v>
      </c>
      <c r="S181" s="279"/>
      <c r="T181" s="333">
        <f>Q181+R181</f>
        <v>50358</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f>145+86</f>
        <v>231</v>
      </c>
      <c r="R182" s="332">
        <v>0</v>
      </c>
      <c r="S182" s="279"/>
      <c r="T182" s="333">
        <f>Q182+R182</f>
        <v>231</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44594</v>
      </c>
      <c r="R183" s="333">
        <f>R182+R181</f>
        <v>5995</v>
      </c>
      <c r="S183" s="279"/>
      <c r="T183" s="333">
        <f>Q183+R183</f>
        <v>50589</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109467.48000000001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3.6958981612446959</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1.69</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17.813084112149532</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8.9600000000000009</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7.02734375</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4.3899999999999997</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FEBRUARY 2015</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42062</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2.2419999999999999E-2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9.9464840654189569E-3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1.2473515934581042E-2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6.8837640514543977E-3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12.65</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1.1686174527755245E-2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9.3299999999999994E-2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100</v>
      </c>
      <c r="R217" s="358">
        <f>+R269</f>
        <v>16480</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155</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'Nov 14'!R223+R222</f>
        <v>5512</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5</v>
      </c>
      <c r="R229" s="358">
        <v>650</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1.68</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3158</v>
      </c>
      <c r="Q236" s="378">
        <f t="shared" ref="Q236:Q243" si="2">P236/$P$245</f>
        <v>0.99684343434343436</v>
      </c>
      <c r="R236" s="237">
        <f t="shared" ref="R236:R243" si="3">+R248+R260+R272</f>
        <v>425279</v>
      </c>
      <c r="S236" s="378">
        <f t="shared" ref="S236:S243" si="4">R236/$R$245</f>
        <v>0.99681229329714349</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4</v>
      </c>
      <c r="Q237" s="378">
        <f t="shared" si="2"/>
        <v>1.2626262626262627E-3</v>
      </c>
      <c r="R237" s="333">
        <f t="shared" si="3"/>
        <v>418</v>
      </c>
      <c r="S237" s="378">
        <f t="shared" si="4"/>
        <v>9.79751030730899E-4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3.1565656565656568E-4</v>
      </c>
      <c r="R238" s="333">
        <f t="shared" si="3"/>
        <v>90</v>
      </c>
      <c r="S238" s="378">
        <f t="shared" si="4"/>
        <v>2.1095117886550457E-4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1</v>
      </c>
      <c r="Q239" s="378">
        <f t="shared" si="2"/>
        <v>3.1565656565656568E-4</v>
      </c>
      <c r="R239" s="333">
        <f t="shared" si="3"/>
        <v>143</v>
      </c>
      <c r="S239" s="378">
        <f t="shared" si="4"/>
        <v>3.3517798419741278E-4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6.3131313131313137E-4</v>
      </c>
      <c r="R240" s="333">
        <f t="shared" si="3"/>
        <v>440</v>
      </c>
      <c r="S240" s="378">
        <f t="shared" si="4"/>
        <v>1.0313168744535779E-3</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3.1565656565656568E-4</v>
      </c>
      <c r="R241" s="333">
        <f t="shared" si="3"/>
        <v>133</v>
      </c>
      <c r="S241" s="378">
        <f t="shared" si="4"/>
        <v>3.1173896432346786E-4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0</v>
      </c>
      <c r="Q242" s="378">
        <f t="shared" si="2"/>
        <v>0</v>
      </c>
      <c r="R242" s="333">
        <f t="shared" si="3"/>
        <v>0</v>
      </c>
      <c r="S242" s="378">
        <f t="shared" si="4"/>
        <v>0</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3.1565656565656568E-4</v>
      </c>
      <c r="R243" s="333">
        <f t="shared" si="3"/>
        <v>136</v>
      </c>
      <c r="S243" s="383">
        <f t="shared" si="4"/>
        <v>3.1877067028565132E-4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3168</v>
      </c>
      <c r="Q245" s="378">
        <f>SUM(Q236:Q244)</f>
        <v>1</v>
      </c>
      <c r="R245" s="333">
        <f>SUM(R236:R244)</f>
        <v>426639</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3064</v>
      </c>
      <c r="Q248" s="244">
        <f t="shared" ref="Q248:Q255" si="5">P248/$P$257</f>
        <v>0.99869621903520212</v>
      </c>
      <c r="R248" s="237">
        <v>409741</v>
      </c>
      <c r="S248" s="244">
        <f t="shared" ref="S248:S255" si="6">R248/$R$257</f>
        <v>0.99898088302341292</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4</v>
      </c>
      <c r="Q249" s="378">
        <f t="shared" si="5"/>
        <v>1.3037809647979139E-3</v>
      </c>
      <c r="R249" s="333">
        <v>418</v>
      </c>
      <c r="S249" s="378">
        <f t="shared" si="6"/>
        <v>1.0191169765871285E-3</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3068</v>
      </c>
      <c r="Q257" s="378">
        <f>SUM(Q248:Q256)</f>
        <v>1</v>
      </c>
      <c r="R257" s="333">
        <f>SUM(R248:R256)</f>
        <v>410159</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94</v>
      </c>
      <c r="Q260" s="244">
        <f t="shared" ref="Q260:Q267" si="7">P260/$P$269</f>
        <v>0.94</v>
      </c>
      <c r="R260" s="237">
        <v>15538</v>
      </c>
      <c r="S260" s="244">
        <f t="shared" ref="S260:S267" si="8">R260/$R$269</f>
        <v>0.94283980582524274</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0</v>
      </c>
      <c r="Q261" s="378">
        <f t="shared" si="7"/>
        <v>0</v>
      </c>
      <c r="R261" s="333">
        <v>0</v>
      </c>
      <c r="S261" s="378">
        <f t="shared" si="8"/>
        <v>0</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1</v>
      </c>
      <c r="Q262" s="378">
        <f t="shared" si="7"/>
        <v>0.01</v>
      </c>
      <c r="R262" s="333">
        <v>90</v>
      </c>
      <c r="S262" s="378">
        <f t="shared" si="8"/>
        <v>5.4611650485436895E-3</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1</v>
      </c>
      <c r="Q263" s="378">
        <f t="shared" si="7"/>
        <v>0.01</v>
      </c>
      <c r="R263" s="333">
        <v>143</v>
      </c>
      <c r="S263" s="378">
        <f t="shared" si="8"/>
        <v>8.6771844660194167E-3</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0.02</v>
      </c>
      <c r="R264" s="333">
        <v>440</v>
      </c>
      <c r="S264" s="378">
        <f t="shared" si="8"/>
        <v>2.6699029126213591E-2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0.01</v>
      </c>
      <c r="R265" s="333">
        <v>133</v>
      </c>
      <c r="S265" s="378">
        <f t="shared" si="8"/>
        <v>8.0703883495145626E-3</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0.01</v>
      </c>
      <c r="R267" s="333">
        <v>136</v>
      </c>
      <c r="S267" s="378">
        <f t="shared" si="8"/>
        <v>8.2524271844660203E-3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100</v>
      </c>
      <c r="Q269" s="378">
        <f>SUM(Q260:Q268)</f>
        <v>1</v>
      </c>
      <c r="R269" s="333">
        <f>SUM(R260:R268)</f>
        <v>16480</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3168</v>
      </c>
      <c r="Q283" s="378"/>
      <c r="R283" s="382">
        <f>+R281+R269+R257</f>
        <v>426639</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FEBRUARY 2015</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400-000000000000}"/>
    <hyperlink ref="N233" r:id="rId2" xr:uid="{00000000-0004-0000-2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0.67789999999999995</v>
      </c>
      <c r="R16" s="222" t="s">
        <v>147</v>
      </c>
      <c r="S16" s="221">
        <v>0.3221</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42177</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318</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128874.9</v>
      </c>
      <c r="E32" s="289"/>
      <c r="F32" s="290">
        <f>F31*F38</f>
        <v>105000</v>
      </c>
      <c r="G32" s="290"/>
      <c r="H32" s="295">
        <f>H31*H38</f>
        <v>222000</v>
      </c>
      <c r="I32" s="290"/>
      <c r="J32" s="290">
        <f>J31*J38</f>
        <v>26507.9326</v>
      </c>
      <c r="K32" s="290"/>
      <c r="L32" s="295">
        <f>L31*L38</f>
        <v>16674.344700000001</v>
      </c>
      <c r="M32" s="290"/>
      <c r="N32" s="296">
        <f>N31*N38</f>
        <v>44037.371900000006</v>
      </c>
      <c r="O32" s="290"/>
      <c r="P32" s="295">
        <f>P31*P38</f>
        <v>23515.101500000001</v>
      </c>
      <c r="Q32" s="290"/>
      <c r="R32" s="290"/>
      <c r="S32" s="291"/>
      <c r="T32" s="290"/>
      <c r="U32" s="292"/>
      <c r="V32" s="5"/>
    </row>
    <row r="33" spans="1:22" x14ac:dyDescent="0.35">
      <c r="A33" s="278"/>
      <c r="B33" s="286" t="s">
        <v>141</v>
      </c>
      <c r="C33" s="289"/>
      <c r="D33" s="299">
        <f>D37*D31</f>
        <v>122263.13</v>
      </c>
      <c r="E33" s="293"/>
      <c r="F33" s="297">
        <f>F37*F31</f>
        <v>105000</v>
      </c>
      <c r="G33" s="297"/>
      <c r="H33" s="300">
        <f>H31*H37</f>
        <v>222000</v>
      </c>
      <c r="I33" s="297"/>
      <c r="J33" s="297">
        <f>J31*J37</f>
        <v>26202.241600000001</v>
      </c>
      <c r="K33" s="297"/>
      <c r="L33" s="300">
        <f>L31*L37</f>
        <v>16482.055199999999</v>
      </c>
      <c r="M33" s="297"/>
      <c r="N33" s="297">
        <f>N31*N37</f>
        <v>43529.530400000003</v>
      </c>
      <c r="O33" s="297"/>
      <c r="P33" s="300">
        <f>P31*P37</f>
        <v>23243.923999999999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73938.576264000003</v>
      </c>
      <c r="E35" s="289"/>
      <c r="F35" s="290">
        <f>F34*F38</f>
        <v>105000</v>
      </c>
      <c r="G35" s="290"/>
      <c r="H35" s="290">
        <f>H34*H38</f>
        <v>150000</v>
      </c>
      <c r="I35" s="290"/>
      <c r="J35" s="290">
        <f>J32</f>
        <v>26507.9326</v>
      </c>
      <c r="K35" s="290"/>
      <c r="L35" s="290">
        <f>L34*L38</f>
        <v>11266.726449600001</v>
      </c>
      <c r="M35" s="290"/>
      <c r="N35" s="290">
        <f>N32</f>
        <v>44037.371900000006</v>
      </c>
      <c r="O35" s="290"/>
      <c r="P35" s="290">
        <f>P34*P38</f>
        <v>15888.512762600001</v>
      </c>
      <c r="Q35" s="290"/>
      <c r="R35" s="290"/>
      <c r="S35" s="291"/>
      <c r="T35" s="290">
        <f>SUM(C35:P35)</f>
        <v>426639.11997620005</v>
      </c>
      <c r="U35" s="292"/>
      <c r="V35" s="5"/>
    </row>
    <row r="36" spans="1:22" x14ac:dyDescent="0.35">
      <c r="A36" s="283"/>
      <c r="B36" s="286" t="s">
        <v>298</v>
      </c>
      <c r="C36" s="293"/>
      <c r="D36" s="297">
        <f>D37*D34</f>
        <v>70145.247536800001</v>
      </c>
      <c r="E36" s="293"/>
      <c r="F36" s="297">
        <f>F37*F34</f>
        <v>105000</v>
      </c>
      <c r="G36" s="297"/>
      <c r="H36" s="297">
        <f>H37*H34</f>
        <v>150000</v>
      </c>
      <c r="I36" s="297"/>
      <c r="J36" s="297">
        <f>J37*J34</f>
        <v>26202.241600000001</v>
      </c>
      <c r="K36" s="297"/>
      <c r="L36" s="297">
        <f>L37*L34</f>
        <v>11136.797913600001</v>
      </c>
      <c r="M36" s="297"/>
      <c r="N36" s="297">
        <f>N37*N34</f>
        <v>43529.530400000003</v>
      </c>
      <c r="O36" s="297"/>
      <c r="P36" s="297">
        <f>P34*P37</f>
        <v>15705.285521600001</v>
      </c>
      <c r="Q36" s="322"/>
      <c r="R36" s="322"/>
      <c r="S36" s="291"/>
      <c r="T36" s="297">
        <f>SUM(C36:P36)</f>
        <v>421719.10297199996</v>
      </c>
      <c r="U36" s="292"/>
      <c r="V36" s="5"/>
    </row>
    <row r="37" spans="1:22" x14ac:dyDescent="0.35">
      <c r="A37" s="305"/>
      <c r="B37" s="306" t="s">
        <v>137</v>
      </c>
      <c r="C37" s="307"/>
      <c r="D37" s="308">
        <v>0.11114830000000001</v>
      </c>
      <c r="E37" s="309"/>
      <c r="F37" s="308">
        <v>1</v>
      </c>
      <c r="G37" s="308"/>
      <c r="H37" s="308">
        <v>1</v>
      </c>
      <c r="I37" s="308"/>
      <c r="J37" s="308">
        <v>0.84523360000000003</v>
      </c>
      <c r="K37" s="308"/>
      <c r="L37" s="308">
        <v>0.84523360000000003</v>
      </c>
      <c r="M37" s="308"/>
      <c r="N37" s="308">
        <v>0.84523360000000003</v>
      </c>
      <c r="O37" s="308"/>
      <c r="P37" s="308">
        <v>0.84523360000000003</v>
      </c>
      <c r="Q37" s="310"/>
      <c r="R37" s="310"/>
      <c r="S37" s="311"/>
      <c r="T37" s="311"/>
      <c r="U37" s="312"/>
      <c r="V37" s="5"/>
    </row>
    <row r="38" spans="1:22" x14ac:dyDescent="0.35">
      <c r="A38" s="305"/>
      <c r="B38" s="306" t="s">
        <v>138</v>
      </c>
      <c r="C38" s="307"/>
      <c r="D38" s="308">
        <v>0.117159</v>
      </c>
      <c r="E38" s="309"/>
      <c r="F38" s="308">
        <v>1</v>
      </c>
      <c r="G38" s="308"/>
      <c r="H38" s="308">
        <v>1</v>
      </c>
      <c r="I38" s="308"/>
      <c r="J38" s="308">
        <v>0.85509460000000004</v>
      </c>
      <c r="K38" s="308"/>
      <c r="L38" s="308">
        <v>0.85509460000000004</v>
      </c>
      <c r="M38" s="308"/>
      <c r="N38" s="308">
        <v>0.85509460000000004</v>
      </c>
      <c r="O38" s="308"/>
      <c r="P38" s="308">
        <v>0.85509460000000004</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2.7560000000000002E-3</v>
      </c>
      <c r="E40" s="279"/>
      <c r="F40" s="316">
        <v>8.8400000000000006E-3</v>
      </c>
      <c r="G40" s="315"/>
      <c r="H40" s="316">
        <v>3.47E-3</v>
      </c>
      <c r="I40" s="315"/>
      <c r="J40" s="316">
        <v>1.1039999999999999E-2</v>
      </c>
      <c r="K40" s="315"/>
      <c r="L40" s="316">
        <v>5.6699999999999997E-3</v>
      </c>
      <c r="M40" s="315"/>
      <c r="N40" s="316">
        <v>1.6639999999999999E-2</v>
      </c>
      <c r="O40" s="315"/>
      <c r="P40" s="316">
        <v>1.1270000000000001E-2</v>
      </c>
      <c r="Q40" s="315"/>
      <c r="R40" s="316"/>
      <c r="S40" s="281"/>
      <c r="T40" s="287"/>
      <c r="U40" s="282"/>
      <c r="V40" s="5"/>
    </row>
    <row r="41" spans="1:22" x14ac:dyDescent="0.35">
      <c r="A41" s="278"/>
      <c r="B41" s="279" t="s">
        <v>13</v>
      </c>
      <c r="C41" s="279"/>
      <c r="D41" s="316">
        <v>2.63E-3</v>
      </c>
      <c r="E41" s="279"/>
      <c r="F41" s="316">
        <v>8.8024999999999996E-3</v>
      </c>
      <c r="G41" s="315"/>
      <c r="H41" s="316">
        <v>4.0200000000000001E-3</v>
      </c>
      <c r="I41" s="315"/>
      <c r="J41" s="316">
        <v>1.10025E-2</v>
      </c>
      <c r="K41" s="315"/>
      <c r="L41" s="316">
        <v>6.2199999999999998E-3</v>
      </c>
      <c r="M41" s="315"/>
      <c r="N41" s="316">
        <v>1.6602499999999999E-2</v>
      </c>
      <c r="O41" s="315"/>
      <c r="P41" s="316">
        <v>1.1820000000000001E-2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6.7955999999999997E-3</v>
      </c>
      <c r="E43" s="279"/>
      <c r="F43" s="316">
        <f>+F40</f>
        <v>8.8400000000000006E-3</v>
      </c>
      <c r="G43" s="315"/>
      <c r="H43" s="316">
        <v>9.2899999999999996E-3</v>
      </c>
      <c r="I43" s="315"/>
      <c r="J43" s="316">
        <f>+J40</f>
        <v>1.1039999999999999E-2</v>
      </c>
      <c r="K43" s="315"/>
      <c r="L43" s="316">
        <v>1.1769999999999999E-2</v>
      </c>
      <c r="M43" s="315"/>
      <c r="N43" s="316">
        <f>+N40</f>
        <v>1.6639999999999999E-2</v>
      </c>
      <c r="O43" s="315"/>
      <c r="P43" s="316">
        <v>1.787E-2</v>
      </c>
      <c r="Q43" s="287"/>
      <c r="R43" s="287"/>
      <c r="S43" s="281"/>
      <c r="T43" s="315">
        <f>SUMPRODUCT(D43:P43,D35:P35)/T35</f>
        <v>9.9993726004241664E-3</v>
      </c>
      <c r="U43" s="282"/>
      <c r="V43" s="5"/>
    </row>
    <row r="44" spans="1:22" x14ac:dyDescent="0.35">
      <c r="A44" s="278"/>
      <c r="B44" s="279" t="s">
        <v>301</v>
      </c>
      <c r="C44" s="317"/>
      <c r="D44" s="316">
        <v>6.7581000000000004E-3</v>
      </c>
      <c r="E44" s="279"/>
      <c r="F44" s="316">
        <f>+F41</f>
        <v>8.8024999999999996E-3</v>
      </c>
      <c r="G44" s="315"/>
      <c r="H44" s="316">
        <v>9.2525000000000003E-3</v>
      </c>
      <c r="I44" s="315"/>
      <c r="J44" s="316">
        <f>+J41</f>
        <v>1.10025E-2</v>
      </c>
      <c r="K44" s="315"/>
      <c r="L44" s="316">
        <v>1.17325E-2</v>
      </c>
      <c r="M44" s="315"/>
      <c r="N44" s="316">
        <f>+N41</f>
        <v>1.6602499999999999E-2</v>
      </c>
      <c r="O44" s="315"/>
      <c r="P44" s="316">
        <v>1.7832500000000001E-2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0.29701758265517864</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42170</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41988</v>
      </c>
      <c r="S57" s="328"/>
      <c r="T57" s="327">
        <v>42078</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42079</v>
      </c>
      <c r="S58" s="328"/>
      <c r="T58" s="327">
        <v>42169</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42156</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340</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426639</v>
      </c>
      <c r="M68" s="332"/>
      <c r="N68" s="332">
        <f>4920+11+20</f>
        <v>4951</v>
      </c>
      <c r="O68" s="332"/>
      <c r="P68" s="332">
        <f>11+20</f>
        <v>31</v>
      </c>
      <c r="Q68" s="332"/>
      <c r="R68" s="332">
        <v>0</v>
      </c>
      <c r="S68" s="332"/>
      <c r="T68" s="333">
        <f>+L68-N68+P68-R68</f>
        <v>421719</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426639</v>
      </c>
      <c r="M71" s="332"/>
      <c r="N71" s="332">
        <f>SUM(N68:N70)</f>
        <v>4951</v>
      </c>
      <c r="O71" s="332"/>
      <c r="P71" s="332">
        <f>SUM(P68:P70)</f>
        <v>31</v>
      </c>
      <c r="Q71" s="332"/>
      <c r="R71" s="332">
        <f>SUM(R68:R70)</f>
        <v>0</v>
      </c>
      <c r="S71" s="332"/>
      <c r="T71" s="332">
        <f>SUM(T68:T70)</f>
        <v>421719</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426639</v>
      </c>
      <c r="M84" s="332"/>
      <c r="N84" s="332"/>
      <c r="O84" s="332"/>
      <c r="P84" s="332"/>
      <c r="Q84" s="332"/>
      <c r="R84" s="332"/>
      <c r="S84" s="332"/>
      <c r="T84" s="332">
        <f>SUM(T71:T83)</f>
        <v>421719</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42153</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4951-87</f>
        <v>4864</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2450+1103-825-265</f>
        <v>2463</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40+39</f>
        <v>79</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25</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236</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4864</v>
      </c>
      <c r="S96" s="279"/>
      <c r="T96" s="332">
        <f>SUM(T88:T95)</f>
        <v>2803</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-37</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4864</v>
      </c>
      <c r="S100" s="279"/>
      <c r="T100" s="332">
        <f>T96+T98+T97+T99</f>
        <v>2766</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-164-161-6</f>
        <v>-331</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231-704</f>
        <v>-473</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-231</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-73</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-71</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-183</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87</v>
      </c>
      <c r="S115" s="279"/>
      <c r="T115" s="333">
        <v>-87</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-164</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-1111</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-31</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-3793</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-306</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-130</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-508</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-183</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-4951</v>
      </c>
      <c r="S132" s="332"/>
      <c r="T132" s="332">
        <f>SUM(T101:T130)</f>
        <v>-2766</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MAY 2015</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87</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87</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-87</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37</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421719</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421719</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+'Feb 15'!Q183</f>
        <v>44594</v>
      </c>
      <c r="R181" s="333">
        <f>+'Feb 15'!R183</f>
        <v>5995</v>
      </c>
      <c r="S181" s="279"/>
      <c r="T181" s="333">
        <f>Q181+R181</f>
        <v>50589</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f>20+11</f>
        <v>31</v>
      </c>
      <c r="R182" s="332">
        <v>0</v>
      </c>
      <c r="S182" s="279"/>
      <c r="T182" s="333">
        <f>Q182+R182</f>
        <v>31</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44625</v>
      </c>
      <c r="R183" s="333">
        <f>R182+R181</f>
        <v>5995</v>
      </c>
      <c r="S183" s="279"/>
      <c r="T183" s="333">
        <f>Q183+R183</f>
        <v>50620</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109436.48000000001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3.4559659090909092</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1.7</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16.311320754716981</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9.0299999999999994</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6.3897637795275593</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4.41</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MAY 2015</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42153</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2.2440000000000002E-2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9.9993726004241664E-3</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1.2440627399575835E-2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6.4832328971331735E-3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12.43</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1.1604658739590145E-2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9.2100000000000001E-2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97</v>
      </c>
      <c r="R217" s="358">
        <f>+R269</f>
        <v>16043</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87</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'Feb 15'!R223+R222</f>
        <v>5599</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1</v>
      </c>
      <c r="R225" s="358">
        <v>108</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1.64</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2.2999999999999998</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3</v>
      </c>
      <c r="R229" s="358">
        <v>386</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3126</v>
      </c>
      <c r="Q236" s="378">
        <f t="shared" ref="Q236:Q243" si="2">P236/$P$245</f>
        <v>0.99712918660287087</v>
      </c>
      <c r="R236" s="237">
        <f t="shared" ref="R236:R243" si="3">+R248+R260+R272</f>
        <v>420672</v>
      </c>
      <c r="S236" s="378">
        <f t="shared" ref="S236:S243" si="4">R236/$R$245</f>
        <v>0.99751730417647766</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3</v>
      </c>
      <c r="Q237" s="378">
        <f t="shared" si="2"/>
        <v>9.5693779904306223E-4</v>
      </c>
      <c r="R237" s="333">
        <f t="shared" si="3"/>
        <v>306</v>
      </c>
      <c r="S237" s="378">
        <f t="shared" si="4"/>
        <v>7.2560164469706134E-4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3.1897926634768739E-4</v>
      </c>
      <c r="R238" s="333">
        <f t="shared" si="3"/>
        <v>140</v>
      </c>
      <c r="S238" s="378">
        <f t="shared" si="4"/>
        <v>3.3197460868493E-4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2</v>
      </c>
      <c r="Q239" s="378">
        <f t="shared" si="2"/>
        <v>6.3795853269537478E-4</v>
      </c>
      <c r="R239" s="333">
        <f t="shared" si="3"/>
        <v>192</v>
      </c>
      <c r="S239" s="378">
        <f t="shared" si="4"/>
        <v>4.5527946333933256E-4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1</v>
      </c>
      <c r="Q240" s="378">
        <f t="shared" si="2"/>
        <v>3.1897926634768739E-4</v>
      </c>
      <c r="R240" s="333">
        <f t="shared" si="3"/>
        <v>133</v>
      </c>
      <c r="S240" s="378">
        <f t="shared" si="4"/>
        <v>3.153758782506835E-4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0</v>
      </c>
      <c r="Q241" s="378">
        <f t="shared" si="2"/>
        <v>0</v>
      </c>
      <c r="R241" s="333">
        <f t="shared" si="3"/>
        <v>0</v>
      </c>
      <c r="S241" s="378">
        <f t="shared" si="4"/>
        <v>0</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3.1897926634768739E-4</v>
      </c>
      <c r="R242" s="333">
        <f t="shared" si="3"/>
        <v>140</v>
      </c>
      <c r="S242" s="378">
        <f t="shared" si="4"/>
        <v>3.3197460868493E-4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3.1897926634768739E-4</v>
      </c>
      <c r="R243" s="333">
        <f t="shared" si="3"/>
        <v>136</v>
      </c>
      <c r="S243" s="383">
        <f t="shared" si="4"/>
        <v>3.2248961986536056E-4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3135</v>
      </c>
      <c r="Q245" s="378">
        <f>SUM(Q236:Q244)</f>
        <v>1</v>
      </c>
      <c r="R245" s="333">
        <f>SUM(R236:R244)</f>
        <v>421719</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3035</v>
      </c>
      <c r="Q248" s="244">
        <f t="shared" ref="Q248:Q255" si="5">P248/$P$257</f>
        <v>0.99901250822909804</v>
      </c>
      <c r="R248" s="237">
        <v>405373</v>
      </c>
      <c r="S248" s="244">
        <f t="shared" ref="S248:S255" si="6">R248/$R$257</f>
        <v>0.99925309853183331</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2</v>
      </c>
      <c r="Q249" s="378">
        <f t="shared" si="5"/>
        <v>6.583278472679394E-4</v>
      </c>
      <c r="R249" s="333">
        <v>163</v>
      </c>
      <c r="S249" s="378">
        <f t="shared" si="6"/>
        <v>4.0179847957483311E-4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1</v>
      </c>
      <c r="Q250" s="378">
        <f t="shared" si="5"/>
        <v>3.291639236339697E-4</v>
      </c>
      <c r="R250" s="333">
        <v>140</v>
      </c>
      <c r="S250" s="378">
        <f t="shared" si="6"/>
        <v>3.4510298859188123E-4</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3038</v>
      </c>
      <c r="Q257" s="378">
        <f>SUM(Q248:Q256)</f>
        <v>1</v>
      </c>
      <c r="R257" s="333">
        <f>SUM(R248:R256)</f>
        <v>405676</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91</v>
      </c>
      <c r="Q260" s="244">
        <f t="shared" ref="Q260:Q267" si="7">P260/$P$269</f>
        <v>0.93814432989690721</v>
      </c>
      <c r="R260" s="237">
        <v>15299</v>
      </c>
      <c r="S260" s="244">
        <f t="shared" ref="S260:S267" si="8">R260/$R$269</f>
        <v>0.95362463379667139</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1.0309278350515464E-2</v>
      </c>
      <c r="R261" s="333">
        <v>143</v>
      </c>
      <c r="S261" s="378">
        <f t="shared" si="8"/>
        <v>8.9135448482204078E-3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2</v>
      </c>
      <c r="Q263" s="378">
        <f t="shared" si="7"/>
        <v>2.0618556701030927E-2</v>
      </c>
      <c r="R263" s="333">
        <v>192</v>
      </c>
      <c r="S263" s="378">
        <f t="shared" si="8"/>
        <v>1.196783643956866E-2</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1.0309278350515464E-2</v>
      </c>
      <c r="R264" s="333">
        <v>133</v>
      </c>
      <c r="S264" s="378">
        <f t="shared" si="8"/>
        <v>8.2902200336595396E-3</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0</v>
      </c>
      <c r="Q265" s="378">
        <f t="shared" si="7"/>
        <v>0</v>
      </c>
      <c r="R265" s="333">
        <v>0</v>
      </c>
      <c r="S265" s="378">
        <f t="shared" si="8"/>
        <v>0</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1.0309278350515464E-2</v>
      </c>
      <c r="R266" s="333">
        <v>140</v>
      </c>
      <c r="S266" s="378">
        <f t="shared" si="8"/>
        <v>8.7265474038521473E-3</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1.0309278350515464E-2</v>
      </c>
      <c r="R267" s="333">
        <v>136</v>
      </c>
      <c r="S267" s="378">
        <f t="shared" si="8"/>
        <v>8.4772174780278001E-3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97</v>
      </c>
      <c r="Q269" s="378">
        <f>SUM(Q260:Q268)</f>
        <v>0.99999999999999989</v>
      </c>
      <c r="R269" s="333">
        <f>SUM(R260:R268)</f>
        <v>16043</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3135</v>
      </c>
      <c r="Q283" s="378"/>
      <c r="R283" s="382">
        <f>+R281+R269+R257</f>
        <v>421719</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MAY 2015</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500-000000000000}"/>
    <hyperlink ref="N233" r:id="rId2" xr:uid="{00000000-0004-0000-2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0.6804</v>
      </c>
      <c r="R16" s="222" t="s">
        <v>147</v>
      </c>
      <c r="S16" s="221">
        <v>0.3196</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42269</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342</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122263.13</v>
      </c>
      <c r="E32" s="289"/>
      <c r="F32" s="290">
        <f>F31*F38</f>
        <v>105000</v>
      </c>
      <c r="G32" s="290"/>
      <c r="H32" s="295">
        <f>H31*H38</f>
        <v>222000</v>
      </c>
      <c r="I32" s="290"/>
      <c r="J32" s="290">
        <f>J31*J38</f>
        <v>26202.241600000001</v>
      </c>
      <c r="K32" s="290"/>
      <c r="L32" s="295">
        <f>L31*L38</f>
        <v>16482.055199999999</v>
      </c>
      <c r="M32" s="290"/>
      <c r="N32" s="296">
        <f>N31*N38</f>
        <v>43529.530400000003</v>
      </c>
      <c r="O32" s="290"/>
      <c r="P32" s="295">
        <f>P31*P38</f>
        <v>23243.923999999999</v>
      </c>
      <c r="Q32" s="290"/>
      <c r="R32" s="290"/>
      <c r="S32" s="291"/>
      <c r="T32" s="290"/>
      <c r="U32" s="292"/>
      <c r="V32" s="5"/>
    </row>
    <row r="33" spans="1:22" x14ac:dyDescent="0.35">
      <c r="A33" s="278"/>
      <c r="B33" s="286" t="s">
        <v>141</v>
      </c>
      <c r="C33" s="289"/>
      <c r="D33" s="299">
        <f>D37*D31</f>
        <v>112793.01</v>
      </c>
      <c r="E33" s="293"/>
      <c r="F33" s="297">
        <f>F37*F31</f>
        <v>105000</v>
      </c>
      <c r="G33" s="297"/>
      <c r="H33" s="300">
        <f>H31*H37</f>
        <v>222000</v>
      </c>
      <c r="I33" s="297"/>
      <c r="J33" s="297">
        <f>J31*J37</f>
        <v>25764.3976</v>
      </c>
      <c r="K33" s="297"/>
      <c r="L33" s="300">
        <f>L31*L37</f>
        <v>16206.637199999999</v>
      </c>
      <c r="M33" s="297"/>
      <c r="N33" s="297">
        <f>N31*N37</f>
        <v>42802.144399999997</v>
      </c>
      <c r="O33" s="297"/>
      <c r="P33" s="300">
        <f>P31*P37</f>
        <v>22855.513999999999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70145.247536800001</v>
      </c>
      <c r="E35" s="289"/>
      <c r="F35" s="290">
        <f>F34*F38</f>
        <v>105000</v>
      </c>
      <c r="G35" s="290"/>
      <c r="H35" s="290">
        <f>H34*H38</f>
        <v>150000</v>
      </c>
      <c r="I35" s="290"/>
      <c r="J35" s="290">
        <f>J32</f>
        <v>26202.241600000001</v>
      </c>
      <c r="K35" s="290"/>
      <c r="L35" s="290">
        <f>L34*L38</f>
        <v>11136.797913600001</v>
      </c>
      <c r="M35" s="290"/>
      <c r="N35" s="290">
        <f>N32</f>
        <v>43529.530400000003</v>
      </c>
      <c r="O35" s="290"/>
      <c r="P35" s="290">
        <f>P34*P38</f>
        <v>15705.285521600001</v>
      </c>
      <c r="Q35" s="290"/>
      <c r="R35" s="290"/>
      <c r="S35" s="291"/>
      <c r="T35" s="290">
        <f>SUM(C35:P35)</f>
        <v>421719.10297199996</v>
      </c>
      <c r="U35" s="292"/>
      <c r="V35" s="5"/>
    </row>
    <row r="36" spans="1:22" x14ac:dyDescent="0.35">
      <c r="A36" s="283"/>
      <c r="B36" s="286" t="s">
        <v>298</v>
      </c>
      <c r="C36" s="293"/>
      <c r="D36" s="297">
        <f>D37*D34</f>
        <v>64712.015853599994</v>
      </c>
      <c r="E36" s="293"/>
      <c r="F36" s="297">
        <f>F37*F34</f>
        <v>105000</v>
      </c>
      <c r="G36" s="297"/>
      <c r="H36" s="297">
        <f>H37*H34</f>
        <v>150000</v>
      </c>
      <c r="I36" s="297"/>
      <c r="J36" s="297">
        <f>J37*J34</f>
        <v>25764.3976</v>
      </c>
      <c r="K36" s="297"/>
      <c r="L36" s="297">
        <f>L37*L34</f>
        <v>10950.700089600001</v>
      </c>
      <c r="M36" s="297"/>
      <c r="N36" s="297">
        <f>N37*N34</f>
        <v>42802.144399999997</v>
      </c>
      <c r="O36" s="297"/>
      <c r="P36" s="297">
        <f>P34*P37</f>
        <v>15442.8474776</v>
      </c>
      <c r="Q36" s="322"/>
      <c r="R36" s="322"/>
      <c r="S36" s="291"/>
      <c r="T36" s="297">
        <f>SUM(C36:P36)</f>
        <v>414672.10542079998</v>
      </c>
      <c r="U36" s="292"/>
      <c r="V36" s="5"/>
    </row>
    <row r="37" spans="1:22" x14ac:dyDescent="0.35">
      <c r="A37" s="305"/>
      <c r="B37" s="306" t="s">
        <v>137</v>
      </c>
      <c r="C37" s="307"/>
      <c r="D37" s="308">
        <v>0.10253909999999999</v>
      </c>
      <c r="E37" s="309"/>
      <c r="F37" s="308">
        <v>1</v>
      </c>
      <c r="G37" s="308"/>
      <c r="H37" s="308">
        <v>1</v>
      </c>
      <c r="I37" s="308"/>
      <c r="J37" s="308">
        <v>0.8311096</v>
      </c>
      <c r="K37" s="308"/>
      <c r="L37" s="308">
        <v>0.8311096</v>
      </c>
      <c r="M37" s="308"/>
      <c r="N37" s="308">
        <v>0.8311096</v>
      </c>
      <c r="O37" s="308"/>
      <c r="P37" s="308">
        <v>0.8311096</v>
      </c>
      <c r="Q37" s="310"/>
      <c r="R37" s="310"/>
      <c r="S37" s="311"/>
      <c r="T37" s="311"/>
      <c r="U37" s="312"/>
      <c r="V37" s="5"/>
    </row>
    <row r="38" spans="1:22" x14ac:dyDescent="0.35">
      <c r="A38" s="305"/>
      <c r="B38" s="306" t="s">
        <v>138</v>
      </c>
      <c r="C38" s="307"/>
      <c r="D38" s="308">
        <v>0.11114830000000001</v>
      </c>
      <c r="E38" s="309"/>
      <c r="F38" s="308">
        <v>1</v>
      </c>
      <c r="G38" s="308"/>
      <c r="H38" s="308">
        <v>1</v>
      </c>
      <c r="I38" s="308"/>
      <c r="J38" s="308">
        <v>0.84523360000000003</v>
      </c>
      <c r="K38" s="308"/>
      <c r="L38" s="308">
        <v>0.84523360000000003</v>
      </c>
      <c r="M38" s="308"/>
      <c r="N38" s="308">
        <v>0.84523360000000003</v>
      </c>
      <c r="O38" s="308"/>
      <c r="P38" s="308">
        <v>0.84523360000000003</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2.8760000000000001E-3</v>
      </c>
      <c r="E40" s="279"/>
      <c r="F40" s="316">
        <v>8.9125000000000003E-3</v>
      </c>
      <c r="G40" s="315"/>
      <c r="H40" s="316">
        <v>3.0599999999999998E-3</v>
      </c>
      <c r="I40" s="315"/>
      <c r="J40" s="316">
        <v>1.1112500000000001E-2</v>
      </c>
      <c r="K40" s="315"/>
      <c r="L40" s="316">
        <v>5.2599999999999999E-3</v>
      </c>
      <c r="M40" s="315"/>
      <c r="N40" s="316">
        <v>1.6712500000000002E-2</v>
      </c>
      <c r="O40" s="315"/>
      <c r="P40" s="316">
        <v>1.086E-2</v>
      </c>
      <c r="Q40" s="315"/>
      <c r="R40" s="316"/>
      <c r="S40" s="281"/>
      <c r="T40" s="287"/>
      <c r="U40" s="282"/>
      <c r="V40" s="5"/>
    </row>
    <row r="41" spans="1:22" x14ac:dyDescent="0.35">
      <c r="A41" s="278"/>
      <c r="B41" s="279" t="s">
        <v>13</v>
      </c>
      <c r="C41" s="279"/>
      <c r="D41" s="316">
        <v>2.7560000000000002E-3</v>
      </c>
      <c r="E41" s="279"/>
      <c r="F41" s="316">
        <v>8.8400000000000006E-3</v>
      </c>
      <c r="G41" s="315"/>
      <c r="H41" s="316">
        <v>3.47E-3</v>
      </c>
      <c r="I41" s="315"/>
      <c r="J41" s="316">
        <v>1.1039999999999999E-2</v>
      </c>
      <c r="K41" s="315"/>
      <c r="L41" s="316">
        <v>5.6699999999999997E-3</v>
      </c>
      <c r="M41" s="315"/>
      <c r="N41" s="316">
        <v>1.6639999999999999E-2</v>
      </c>
      <c r="O41" s="315"/>
      <c r="P41" s="316">
        <v>1.1270000000000001E-2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6.8681000000000002E-3</v>
      </c>
      <c r="E43" s="279"/>
      <c r="F43" s="316">
        <f>+F40</f>
        <v>8.9125000000000003E-3</v>
      </c>
      <c r="G43" s="315"/>
      <c r="H43" s="316">
        <v>9.3624999999999993E-3</v>
      </c>
      <c r="I43" s="315"/>
      <c r="J43" s="316">
        <f>+J40</f>
        <v>1.1112500000000001E-2</v>
      </c>
      <c r="K43" s="315"/>
      <c r="L43" s="316">
        <v>1.1842500000000001E-2</v>
      </c>
      <c r="M43" s="315"/>
      <c r="N43" s="316">
        <f>+N40</f>
        <v>1.6712500000000002E-2</v>
      </c>
      <c r="O43" s="315"/>
      <c r="P43" s="316">
        <v>1.79425E-2</v>
      </c>
      <c r="Q43" s="287"/>
      <c r="R43" s="287"/>
      <c r="S43" s="281"/>
      <c r="T43" s="315">
        <f>SUMPRODUCT(D43:P43,D35:P35)/T35</f>
        <v>1.0087974070842781E-2</v>
      </c>
      <c r="U43" s="282"/>
      <c r="V43" s="5"/>
    </row>
    <row r="44" spans="1:22" x14ac:dyDescent="0.35">
      <c r="A44" s="278"/>
      <c r="B44" s="279" t="s">
        <v>301</v>
      </c>
      <c r="C44" s="317"/>
      <c r="D44" s="316">
        <v>6.7955999999999997E-3</v>
      </c>
      <c r="E44" s="279"/>
      <c r="F44" s="316">
        <f>+F41</f>
        <v>8.8400000000000006E-3</v>
      </c>
      <c r="G44" s="315"/>
      <c r="H44" s="316">
        <v>9.2899999999999996E-3</v>
      </c>
      <c r="I44" s="315"/>
      <c r="J44" s="316">
        <f>+J41</f>
        <v>1.1039999999999999E-2</v>
      </c>
      <c r="K44" s="315"/>
      <c r="L44" s="316">
        <v>1.1769999999999999E-2</v>
      </c>
      <c r="M44" s="315"/>
      <c r="N44" s="316">
        <f>+N41</f>
        <v>1.6639999999999999E-2</v>
      </c>
      <c r="O44" s="315"/>
      <c r="P44" s="316">
        <v>1.787E-2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0.29701758100541131</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42262</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42079</v>
      </c>
      <c r="S57" s="328"/>
      <c r="T57" s="327">
        <v>42169</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42170</v>
      </c>
      <c r="S58" s="328"/>
      <c r="T58" s="327">
        <v>42261</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42248</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341</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421719</v>
      </c>
      <c r="M68" s="332"/>
      <c r="N68" s="332">
        <f>7047+318</f>
        <v>7365</v>
      </c>
      <c r="O68" s="332"/>
      <c r="P68" s="332">
        <v>318</v>
      </c>
      <c r="Q68" s="332"/>
      <c r="R68" s="332">
        <v>0</v>
      </c>
      <c r="S68" s="332"/>
      <c r="T68" s="333">
        <f>+L68-N68+P68-R68</f>
        <v>414672</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421719</v>
      </c>
      <c r="M71" s="332"/>
      <c r="N71" s="332">
        <f>SUM(N68:N70)</f>
        <v>7365</v>
      </c>
      <c r="O71" s="332"/>
      <c r="P71" s="332">
        <f>SUM(P68:P70)</f>
        <v>318</v>
      </c>
      <c r="Q71" s="332"/>
      <c r="R71" s="332">
        <f>SUM(R68:R70)</f>
        <v>0</v>
      </c>
      <c r="S71" s="332"/>
      <c r="T71" s="332">
        <f>SUM(T68:T70)</f>
        <v>414672</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421719</v>
      </c>
      <c r="M84" s="332"/>
      <c r="N84" s="332"/>
      <c r="O84" s="332"/>
      <c r="P84" s="332"/>
      <c r="Q84" s="332"/>
      <c r="R84" s="332"/>
      <c r="S84" s="332"/>
      <c r="T84" s="332">
        <f>SUM(T71:T83)</f>
        <v>414672</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42244</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7365-75</f>
        <v>7290</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1935+1114-374-294</f>
        <v>2381</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58+82</f>
        <v>140</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26</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175</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7290</v>
      </c>
      <c r="S96" s="279"/>
      <c r="T96" s="332">
        <f>SUM(T88:T95)</f>
        <v>2722</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-197</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7290</v>
      </c>
      <c r="S100" s="279"/>
      <c r="T100" s="332">
        <f>T96+T98+T97+T99</f>
        <v>2525</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-163-146-6</f>
        <v>-315</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-711+235</f>
        <v>-476</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-235</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-74</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-71</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-183</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75</v>
      </c>
      <c r="S115" s="279"/>
      <c r="T115" s="333">
        <v>-75</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-162</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-892</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-318</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-5433</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-438</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-186</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-727</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-263</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-7365</v>
      </c>
      <c r="S132" s="332"/>
      <c r="T132" s="332">
        <f>SUM(T101:T130)</f>
        <v>-2525</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AUGUST 2015</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75</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75</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-75</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197</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414672</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414672</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+'May 15'!Q183</f>
        <v>44625</v>
      </c>
      <c r="R181" s="333">
        <f>+'May 15'!R183</f>
        <v>5995</v>
      </c>
      <c r="S181" s="279"/>
      <c r="T181" s="333">
        <f>Q181+R181</f>
        <v>50620</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318</v>
      </c>
      <c r="R182" s="332">
        <v>0</v>
      </c>
      <c r="S182" s="279"/>
      <c r="T182" s="333">
        <f>Q182+R182</f>
        <v>318</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44943</v>
      </c>
      <c r="R183" s="333">
        <f>R182+R181</f>
        <v>5995</v>
      </c>
      <c r="S183" s="279"/>
      <c r="T183" s="333">
        <f>Q183+R183</f>
        <v>50938</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109118.48000000001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3.1054852320675104</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1.7</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13.990654205607477</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9.07</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5.4724409448818898</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4.42</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AUGUST 2015</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42244</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2.2499999999999999E-2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1.0087974070842781E-2</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1.2412025929157218E-2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5.987399192353202E-3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12.26</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1.7464235664032213E-2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9.1499999999999998E-2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92</v>
      </c>
      <c r="R217" s="358">
        <f>+R269</f>
        <v>15401</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75</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'May 15'!R223+R222</f>
        <v>5674</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5</v>
      </c>
      <c r="R229" s="358">
        <v>618</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0.64</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3074</v>
      </c>
      <c r="Q236" s="378">
        <f t="shared" ref="Q236:Q243" si="2">P236/$P$245</f>
        <v>0.99675745784695202</v>
      </c>
      <c r="R236" s="237">
        <f t="shared" ref="R236:R243" si="3">+R248+R260+R272</f>
        <v>412775</v>
      </c>
      <c r="S236" s="378">
        <f t="shared" ref="S236:S243" si="4">R236/$R$245</f>
        <v>0.99542529999614149</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5</v>
      </c>
      <c r="Q237" s="378">
        <f t="shared" si="2"/>
        <v>1.6212710765239949E-3</v>
      </c>
      <c r="R237" s="333">
        <f t="shared" si="3"/>
        <v>918</v>
      </c>
      <c r="S237" s="378">
        <f t="shared" si="4"/>
        <v>2.2137978932746847E-3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3.2425421530479895E-4</v>
      </c>
      <c r="R238" s="333">
        <f t="shared" si="3"/>
        <v>300</v>
      </c>
      <c r="S238" s="378">
        <f t="shared" si="4"/>
        <v>7.2346336381525639E-4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2</v>
      </c>
      <c r="Q239" s="378">
        <f t="shared" si="2"/>
        <v>6.485084306095979E-4</v>
      </c>
      <c r="R239" s="333">
        <f t="shared" si="3"/>
        <v>403</v>
      </c>
      <c r="S239" s="378">
        <f t="shared" si="4"/>
        <v>9.7185245205849442E-4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0</v>
      </c>
      <c r="Q240" s="378">
        <f t="shared" si="2"/>
        <v>0</v>
      </c>
      <c r="R240" s="333">
        <f t="shared" si="3"/>
        <v>0</v>
      </c>
      <c r="S240" s="378">
        <f t="shared" si="4"/>
        <v>0</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0</v>
      </c>
      <c r="Q241" s="378">
        <f t="shared" si="2"/>
        <v>0</v>
      </c>
      <c r="R241" s="333">
        <f t="shared" si="3"/>
        <v>0</v>
      </c>
      <c r="S241" s="378">
        <f t="shared" si="4"/>
        <v>0</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3.2425421530479895E-4</v>
      </c>
      <c r="R242" s="333">
        <f t="shared" si="3"/>
        <v>139</v>
      </c>
      <c r="S242" s="378">
        <f t="shared" si="4"/>
        <v>3.352046919010688E-4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1</v>
      </c>
      <c r="Q243" s="378">
        <f t="shared" si="2"/>
        <v>3.2425421530479895E-4</v>
      </c>
      <c r="R243" s="333">
        <f t="shared" si="3"/>
        <v>137</v>
      </c>
      <c r="S243" s="383">
        <f t="shared" si="4"/>
        <v>3.3038160280896711E-4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3084</v>
      </c>
      <c r="Q245" s="378">
        <f>SUM(Q236:Q244)</f>
        <v>1</v>
      </c>
      <c r="R245" s="333">
        <f>SUM(R236:R244)</f>
        <v>414672</v>
      </c>
      <c r="S245" s="378">
        <f>SUM(S236:S244)</f>
        <v>0.99999999999999989</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2987</v>
      </c>
      <c r="Q248" s="244">
        <f t="shared" ref="Q248:Q255" si="5">P248/$P$257</f>
        <v>0.99832887700534756</v>
      </c>
      <c r="R248" s="237">
        <v>398157</v>
      </c>
      <c r="S248" s="244">
        <f t="shared" ref="S248:S255" si="6">R248/$R$257</f>
        <v>0.9972099150702155</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4</v>
      </c>
      <c r="Q249" s="378">
        <f t="shared" si="5"/>
        <v>1.3368983957219251E-3</v>
      </c>
      <c r="R249" s="333">
        <v>844</v>
      </c>
      <c r="S249" s="378">
        <f t="shared" si="6"/>
        <v>2.1138524961742777E-3</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1</v>
      </c>
      <c r="Q251" s="378">
        <f t="shared" si="5"/>
        <v>3.3422459893048126E-4</v>
      </c>
      <c r="R251" s="333">
        <v>270</v>
      </c>
      <c r="S251" s="378">
        <f t="shared" si="6"/>
        <v>6.7623243361025472E-4</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2992</v>
      </c>
      <c r="Q257" s="378">
        <f>SUM(Q248:Q256)</f>
        <v>1</v>
      </c>
      <c r="R257" s="333">
        <f>SUM(R248:R256)</f>
        <v>399271</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87</v>
      </c>
      <c r="Q260" s="244">
        <f t="shared" ref="Q260:Q267" si="7">P260/$P$269</f>
        <v>0.94565217391304346</v>
      </c>
      <c r="R260" s="237">
        <v>14618</v>
      </c>
      <c r="S260" s="244">
        <f t="shared" ref="S260:S267" si="8">R260/$R$269</f>
        <v>0.94915914551003178</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1.0869565217391304E-2</v>
      </c>
      <c r="R261" s="333">
        <v>74</v>
      </c>
      <c r="S261" s="378">
        <f t="shared" si="8"/>
        <v>4.8048827998181933E-3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1</v>
      </c>
      <c r="Q262" s="378">
        <f t="shared" si="7"/>
        <v>1.0869565217391304E-2</v>
      </c>
      <c r="R262" s="333">
        <v>300</v>
      </c>
      <c r="S262" s="378">
        <f t="shared" si="8"/>
        <v>1.9479254593857541E-2</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1</v>
      </c>
      <c r="Q263" s="378">
        <f t="shared" si="7"/>
        <v>1.0869565217391304E-2</v>
      </c>
      <c r="R263" s="333">
        <v>133</v>
      </c>
      <c r="S263" s="378">
        <f t="shared" si="8"/>
        <v>8.6358028699435093E-3</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0</v>
      </c>
      <c r="Q264" s="378">
        <f t="shared" si="7"/>
        <v>0</v>
      </c>
      <c r="R264" s="333">
        <v>0</v>
      </c>
      <c r="S264" s="378">
        <f t="shared" si="8"/>
        <v>0</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0</v>
      </c>
      <c r="Q265" s="378">
        <f t="shared" si="7"/>
        <v>0</v>
      </c>
      <c r="R265" s="333">
        <v>0</v>
      </c>
      <c r="S265" s="378">
        <f t="shared" si="8"/>
        <v>0</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1.0869565217391304E-2</v>
      </c>
      <c r="R266" s="333">
        <v>139</v>
      </c>
      <c r="S266" s="378">
        <f t="shared" si="8"/>
        <v>9.0253879618206606E-3</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1</v>
      </c>
      <c r="Q267" s="378">
        <f t="shared" si="7"/>
        <v>1.0869565217391304E-2</v>
      </c>
      <c r="R267" s="333">
        <v>137</v>
      </c>
      <c r="S267" s="378">
        <f t="shared" si="8"/>
        <v>8.8955262645282768E-3</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92</v>
      </c>
      <c r="Q269" s="378">
        <f>SUM(Q260:Q268)</f>
        <v>1.0000000000000002</v>
      </c>
      <c r="R269" s="333">
        <f>SUM(R260:R268)</f>
        <v>15401</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3084</v>
      </c>
      <c r="Q283" s="378"/>
      <c r="R283" s="382">
        <f>+R281+R269+R257</f>
        <v>414672</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AUGUST 2015</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600-000000000000}"/>
    <hyperlink ref="N233" r:id="rId2" xr:uid="{00000000-0004-0000-2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9CB31"/>
  </sheetPr>
  <dimension ref="A1:W279"/>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0.49059999999999998</v>
      </c>
      <c r="R16" s="17" t="s">
        <v>147</v>
      </c>
      <c r="S16" s="138">
        <v>0.50939999999999996</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39070</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v>1030290</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994275.7</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591101.55319200002</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960358.55319200002</v>
      </c>
      <c r="U35" s="34"/>
      <c r="V35" s="5"/>
    </row>
    <row r="36" spans="1:22" x14ac:dyDescent="0.35">
      <c r="A36" s="28"/>
      <c r="B36" s="29" t="s">
        <v>298</v>
      </c>
      <c r="C36" s="126"/>
      <c r="D36" s="35">
        <f>D37*D34-1</f>
        <v>570438.47015199997</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939695.47015199997</v>
      </c>
      <c r="U36" s="34"/>
      <c r="V36" s="5"/>
    </row>
    <row r="37" spans="1:22" x14ac:dyDescent="0.35">
      <c r="A37" s="24"/>
      <c r="B37" s="122" t="s">
        <v>137</v>
      </c>
      <c r="C37" s="25"/>
      <c r="D37" s="136">
        <v>0.903887</v>
      </c>
      <c r="E37" s="137"/>
      <c r="F37" s="136">
        <v>1</v>
      </c>
      <c r="G37" s="136"/>
      <c r="H37" s="136">
        <v>1</v>
      </c>
      <c r="I37" s="136"/>
      <c r="J37" s="136">
        <v>1</v>
      </c>
      <c r="K37" s="136"/>
      <c r="L37" s="136">
        <v>1</v>
      </c>
      <c r="M37" s="136"/>
      <c r="N37" s="136">
        <v>1</v>
      </c>
      <c r="O37" s="136"/>
      <c r="P37" s="136">
        <v>1</v>
      </c>
      <c r="Q37" s="30"/>
      <c r="R37" s="30"/>
      <c r="S37" s="164"/>
      <c r="T37" s="164"/>
      <c r="U37" s="25"/>
      <c r="V37" s="5"/>
    </row>
    <row r="38" spans="1:22" x14ac:dyDescent="0.35">
      <c r="A38" s="24"/>
      <c r="B38" s="122" t="s">
        <v>138</v>
      </c>
      <c r="C38" s="25"/>
      <c r="D38" s="136">
        <v>0.93662699999999999</v>
      </c>
      <c r="E38" s="137"/>
      <c r="F38" s="136">
        <v>1</v>
      </c>
      <c r="G38" s="136"/>
      <c r="H38" s="136">
        <v>1</v>
      </c>
      <c r="I38" s="136"/>
      <c r="J38" s="136">
        <v>1</v>
      </c>
      <c r="K38" s="136"/>
      <c r="L38" s="136">
        <v>1</v>
      </c>
      <c r="M38" s="136"/>
      <c r="N38" s="136">
        <v>1</v>
      </c>
      <c r="O38" s="136"/>
      <c r="P38" s="136">
        <v>1</v>
      </c>
      <c r="Q38" s="39"/>
      <c r="R38" s="38"/>
      <c r="S38" s="164"/>
      <c r="T38" s="39"/>
      <c r="U38" s="25"/>
      <c r="V38" s="5"/>
    </row>
    <row r="39" spans="1:22" x14ac:dyDescent="0.35">
      <c r="A39" s="24"/>
      <c r="B39" s="25" t="s">
        <v>11</v>
      </c>
      <c r="C39" s="25"/>
      <c r="D39" s="30" t="s">
        <v>270</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5.2999999999999999E-2</v>
      </c>
      <c r="E40" s="25"/>
      <c r="F40" s="38">
        <v>5.1950000000000003E-2</v>
      </c>
      <c r="G40" s="39"/>
      <c r="H40" s="38">
        <v>3.4810000000000001E-2</v>
      </c>
      <c r="I40" s="39"/>
      <c r="J40" s="38">
        <v>5.305E-2</v>
      </c>
      <c r="K40" s="39"/>
      <c r="L40" s="38">
        <v>3.5909999999999997E-2</v>
      </c>
      <c r="M40" s="39"/>
      <c r="N40" s="38">
        <v>5.5849999999999997E-2</v>
      </c>
      <c r="O40" s="39"/>
      <c r="P40" s="38">
        <v>3.8710000000000001E-2</v>
      </c>
      <c r="Q40" s="39"/>
      <c r="R40" s="38"/>
      <c r="S40" s="164"/>
      <c r="T40" s="30"/>
      <c r="U40" s="25"/>
      <c r="V40" s="5"/>
    </row>
    <row r="41" spans="1:22" x14ac:dyDescent="0.35">
      <c r="A41" s="24"/>
      <c r="B41" s="25" t="s">
        <v>13</v>
      </c>
      <c r="C41" s="25"/>
      <c r="D41" s="38">
        <v>5.33E-2</v>
      </c>
      <c r="E41" s="25"/>
      <c r="F41" s="38">
        <v>4.8940600000000001E-2</v>
      </c>
      <c r="G41" s="39"/>
      <c r="H41" s="38">
        <v>3.1189999999999999E-2</v>
      </c>
      <c r="I41" s="39"/>
      <c r="J41" s="38">
        <v>5.0040599999999998E-2</v>
      </c>
      <c r="K41" s="39"/>
      <c r="L41" s="38">
        <v>3.2289999999999999E-2</v>
      </c>
      <c r="M41" s="39"/>
      <c r="N41" s="38">
        <v>5.2840600000000001E-2</v>
      </c>
      <c r="O41" s="39"/>
      <c r="P41" s="38">
        <v>3.5090000000000003E-2</v>
      </c>
      <c r="Q41" s="39"/>
      <c r="R41" s="38"/>
      <c r="S41" s="164"/>
      <c r="T41" s="39" t="s">
        <v>226</v>
      </c>
      <c r="U41" s="25"/>
      <c r="V41" s="5"/>
    </row>
    <row r="42" spans="1:22" x14ac:dyDescent="0.35">
      <c r="A42" s="24"/>
      <c r="B42" s="25" t="s">
        <v>299</v>
      </c>
      <c r="C42" s="25"/>
      <c r="D42" s="30" t="s">
        <v>237</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5.0390200000000003E-2</v>
      </c>
      <c r="E43" s="25"/>
      <c r="F43" s="38">
        <f>+F40</f>
        <v>5.1950000000000003E-2</v>
      </c>
      <c r="G43" s="39"/>
      <c r="H43" s="38">
        <v>5.2174999999999999E-2</v>
      </c>
      <c r="I43" s="39"/>
      <c r="J43" s="38">
        <f>+J40</f>
        <v>5.305E-2</v>
      </c>
      <c r="K43" s="39"/>
      <c r="L43" s="38">
        <v>5.3414999999999997E-2</v>
      </c>
      <c r="M43" s="39"/>
      <c r="N43" s="38">
        <f>+N40</f>
        <v>5.5849999999999997E-2</v>
      </c>
      <c r="O43" s="39"/>
      <c r="P43" s="38">
        <v>5.6465000000000001E-2</v>
      </c>
      <c r="Q43" s="30"/>
      <c r="R43" s="30"/>
      <c r="S43" s="164"/>
      <c r="T43" s="39">
        <f>SUMPRODUCT(D43:P43,D35:P35)/T35</f>
        <v>5.1377188787104087E-2</v>
      </c>
      <c r="U43" s="25"/>
      <c r="V43" s="5"/>
    </row>
    <row r="44" spans="1:22" x14ac:dyDescent="0.35">
      <c r="A44" s="24"/>
      <c r="B44" s="25" t="s">
        <v>301</v>
      </c>
      <c r="C44" s="110"/>
      <c r="D44" s="38">
        <v>4.7583599999999997E-2</v>
      </c>
      <c r="E44" s="25"/>
      <c r="F44" s="38">
        <v>4.8940600000000001E-2</v>
      </c>
      <c r="G44" s="39"/>
      <c r="H44" s="38">
        <v>4.9165599999999997E-2</v>
      </c>
      <c r="I44" s="39"/>
      <c r="J44" s="38">
        <v>5.0040599999999998E-2</v>
      </c>
      <c r="K44" s="39"/>
      <c r="L44" s="38">
        <v>5.0405600000000002E-2</v>
      </c>
      <c r="M44" s="39"/>
      <c r="N44" s="38">
        <v>5.2840600000000001E-2</v>
      </c>
      <c r="O44" s="39"/>
      <c r="P44" s="38">
        <v>5.3455599999999999E-2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0.13841976613830489</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39066</v>
      </c>
      <c r="U56" s="25"/>
      <c r="V56" s="5"/>
    </row>
    <row r="57" spans="1:23" x14ac:dyDescent="0.35">
      <c r="A57" s="24"/>
      <c r="B57" s="25" t="s">
        <v>128</v>
      </c>
      <c r="C57" s="25"/>
      <c r="D57" s="25"/>
      <c r="E57" s="25"/>
      <c r="F57" s="25"/>
      <c r="G57" s="25"/>
      <c r="H57" s="58"/>
      <c r="I57" s="58"/>
      <c r="J57" s="58"/>
      <c r="K57" s="58"/>
      <c r="L57" s="58"/>
      <c r="M57" s="58"/>
      <c r="N57" s="58"/>
      <c r="O57" s="58"/>
      <c r="P57" s="25">
        <f>+T57-R57+1</f>
        <v>92</v>
      </c>
      <c r="Q57" s="25"/>
      <c r="R57" s="45">
        <v>38883</v>
      </c>
      <c r="S57" s="46"/>
      <c r="T57" s="45">
        <v>38974</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38975</v>
      </c>
      <c r="S58" s="46"/>
      <c r="T58" s="45">
        <v>39065</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39052</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268</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960358</v>
      </c>
      <c r="M69" s="34"/>
      <c r="N69" s="34">
        <f>20662+3637+920+1</f>
        <v>25220</v>
      </c>
      <c r="O69" s="34"/>
      <c r="P69" s="34">
        <f>3637+920</f>
        <v>4557</v>
      </c>
      <c r="Q69" s="34"/>
      <c r="R69" s="34">
        <v>0</v>
      </c>
      <c r="S69" s="34"/>
      <c r="T69" s="53">
        <f>+L69-N69+P69-R69</f>
        <v>939695</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960358</v>
      </c>
      <c r="M72" s="34"/>
      <c r="N72" s="34">
        <f>SUM(N69:N71)</f>
        <v>25220</v>
      </c>
      <c r="O72" s="34"/>
      <c r="P72" s="34">
        <f>SUM(P69:P71)</f>
        <v>4557</v>
      </c>
      <c r="Q72" s="34"/>
      <c r="R72" s="34">
        <f>SUM(R69:R71)</f>
        <v>0</v>
      </c>
      <c r="S72" s="34"/>
      <c r="T72" s="54">
        <f>SUM(T69:T71)</f>
        <v>939695</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960358</v>
      </c>
      <c r="M85" s="34"/>
      <c r="N85" s="34"/>
      <c r="O85" s="34"/>
      <c r="P85" s="34"/>
      <c r="Q85" s="34"/>
      <c r="R85" s="54"/>
      <c r="S85" s="34"/>
      <c r="T85" s="54">
        <f>SUM(T72:T84)</f>
        <v>939695</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t="str">
        <f>+R195</f>
        <v>31/11/2006</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25220</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7091+6697-524-503+1</f>
        <v>12762</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287+322</f>
        <v>609</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516</v>
      </c>
      <c r="U93" s="25"/>
      <c r="V93" s="5"/>
    </row>
    <row r="94" spans="1:22" x14ac:dyDescent="0.35">
      <c r="A94" s="24"/>
      <c r="B94" s="25" t="s">
        <v>142</v>
      </c>
      <c r="C94" s="25"/>
      <c r="D94" s="25"/>
      <c r="E94" s="25"/>
      <c r="F94" s="25"/>
      <c r="G94" s="25"/>
      <c r="H94" s="25"/>
      <c r="I94" s="25"/>
      <c r="J94" s="25"/>
      <c r="K94" s="25"/>
      <c r="L94" s="25"/>
      <c r="M94" s="25"/>
      <c r="N94" s="25"/>
      <c r="O94" s="25"/>
      <c r="P94" s="25"/>
      <c r="Q94" s="25"/>
      <c r="R94" s="34"/>
      <c r="S94" s="25"/>
      <c r="T94" s="53">
        <v>0</v>
      </c>
      <c r="U94" s="25"/>
      <c r="V94" s="5"/>
    </row>
    <row r="95" spans="1:22" x14ac:dyDescent="0.35">
      <c r="A95" s="24"/>
      <c r="B95" s="25" t="s">
        <v>234</v>
      </c>
      <c r="C95" s="25"/>
      <c r="D95" s="25"/>
      <c r="E95" s="25"/>
      <c r="F95" s="25"/>
      <c r="G95" s="25"/>
      <c r="H95" s="25"/>
      <c r="I95" s="25"/>
      <c r="J95" s="25"/>
      <c r="K95" s="25"/>
      <c r="L95" s="25"/>
      <c r="M95" s="25"/>
      <c r="N95" s="25"/>
      <c r="O95" s="25"/>
      <c r="P95" s="25"/>
      <c r="Q95" s="25"/>
      <c r="R95" s="34"/>
      <c r="S95" s="25"/>
      <c r="T95" s="53">
        <v>1253</v>
      </c>
      <c r="U95" s="25"/>
      <c r="V95" s="5"/>
    </row>
    <row r="96" spans="1:22" x14ac:dyDescent="0.35">
      <c r="A96" s="24"/>
      <c r="B96" s="25" t="s">
        <v>30</v>
      </c>
      <c r="C96" s="25"/>
      <c r="D96" s="25"/>
      <c r="E96" s="25"/>
      <c r="F96" s="25"/>
      <c r="G96" s="25"/>
      <c r="H96" s="25"/>
      <c r="I96" s="25"/>
      <c r="J96" s="25"/>
      <c r="K96" s="25"/>
      <c r="L96" s="25"/>
      <c r="M96" s="25"/>
      <c r="N96" s="25"/>
      <c r="O96" s="25"/>
      <c r="P96" s="25"/>
      <c r="Q96" s="25"/>
      <c r="R96" s="34">
        <f>SUM(R89:R95)</f>
        <v>25220</v>
      </c>
      <c r="S96" s="25"/>
      <c r="T96" s="54">
        <f>SUM(T89:T95)</f>
        <v>15140</v>
      </c>
      <c r="U96" s="25"/>
      <c r="V96" s="5"/>
    </row>
    <row r="97" spans="1:23" x14ac:dyDescent="0.35">
      <c r="A97" s="24"/>
      <c r="B97" s="25" t="s">
        <v>170</v>
      </c>
      <c r="C97" s="25"/>
      <c r="D97" s="25"/>
      <c r="E97" s="25"/>
      <c r="F97" s="25"/>
      <c r="G97" s="25"/>
      <c r="H97" s="25"/>
      <c r="I97" s="25"/>
      <c r="J97" s="25"/>
      <c r="K97" s="25"/>
      <c r="L97" s="25"/>
      <c r="M97" s="25"/>
      <c r="N97" s="25"/>
      <c r="O97" s="25"/>
      <c r="P97" s="25"/>
      <c r="Q97" s="25"/>
      <c r="R97" s="34">
        <v>-34</v>
      </c>
      <c r="S97" s="25"/>
      <c r="T97" s="54">
        <v>34</v>
      </c>
      <c r="U97" s="25"/>
      <c r="V97" s="5"/>
    </row>
    <row r="98" spans="1:23" x14ac:dyDescent="0.35">
      <c r="A98" s="24"/>
      <c r="B98" s="25" t="s">
        <v>31</v>
      </c>
      <c r="C98" s="25"/>
      <c r="D98" s="25"/>
      <c r="E98" s="25"/>
      <c r="F98" s="25"/>
      <c r="G98" s="25"/>
      <c r="H98" s="25"/>
      <c r="I98" s="25"/>
      <c r="J98" s="25"/>
      <c r="K98" s="25"/>
      <c r="L98" s="25"/>
      <c r="M98" s="25"/>
      <c r="N98" s="25"/>
      <c r="O98" s="25"/>
      <c r="P98" s="25"/>
      <c r="Q98" s="25"/>
      <c r="R98" s="34">
        <f>-T98</f>
        <v>0</v>
      </c>
      <c r="S98" s="25"/>
      <c r="T98" s="53">
        <v>0</v>
      </c>
      <c r="U98" s="25"/>
      <c r="V98" s="5"/>
    </row>
    <row r="99" spans="1:23" x14ac:dyDescent="0.35">
      <c r="A99" s="24"/>
      <c r="B99" s="25" t="s">
        <v>32</v>
      </c>
      <c r="C99" s="25"/>
      <c r="D99" s="25"/>
      <c r="E99" s="25"/>
      <c r="F99" s="25"/>
      <c r="G99" s="25"/>
      <c r="H99" s="25"/>
      <c r="I99" s="25"/>
      <c r="J99" s="25"/>
      <c r="K99" s="25"/>
      <c r="L99" s="25"/>
      <c r="M99" s="25"/>
      <c r="N99" s="25"/>
      <c r="O99" s="25"/>
      <c r="P99" s="25"/>
      <c r="Q99" s="25"/>
      <c r="R99" s="34">
        <f>R96+R98+R97</f>
        <v>25186</v>
      </c>
      <c r="S99" s="25"/>
      <c r="T99" s="54">
        <f>T96+T98+T97</f>
        <v>15174</v>
      </c>
      <c r="U99" s="25"/>
      <c r="V99" s="5"/>
    </row>
    <row r="100" spans="1:23" x14ac:dyDescent="0.35">
      <c r="A100" s="24"/>
      <c r="B100" s="118" t="s">
        <v>33</v>
      </c>
      <c r="C100" s="25"/>
      <c r="D100" s="25"/>
      <c r="E100" s="25"/>
      <c r="F100" s="25"/>
      <c r="G100" s="25"/>
      <c r="H100" s="25"/>
      <c r="I100" s="25"/>
      <c r="J100" s="25"/>
      <c r="K100" s="25"/>
      <c r="L100" s="25"/>
      <c r="M100" s="25"/>
      <c r="N100" s="25"/>
      <c r="O100" s="25"/>
      <c r="P100" s="25"/>
      <c r="Q100" s="25"/>
      <c r="R100" s="34"/>
      <c r="S100" s="25"/>
      <c r="T100" s="53"/>
      <c r="U100" s="25"/>
      <c r="V100" s="5"/>
    </row>
    <row r="101" spans="1:23" x14ac:dyDescent="0.35">
      <c r="A101" s="24">
        <v>1</v>
      </c>
      <c r="B101" s="25" t="s">
        <v>34</v>
      </c>
      <c r="C101" s="25"/>
      <c r="D101" s="25"/>
      <c r="E101" s="25"/>
      <c r="F101" s="25"/>
      <c r="G101" s="25"/>
      <c r="H101" s="25"/>
      <c r="I101" s="25"/>
      <c r="J101" s="25"/>
      <c r="K101" s="25"/>
      <c r="L101" s="25"/>
      <c r="M101" s="25"/>
      <c r="N101" s="25"/>
      <c r="O101" s="25"/>
      <c r="P101" s="25"/>
      <c r="Q101" s="25"/>
      <c r="R101" s="25"/>
      <c r="S101" s="25"/>
      <c r="T101" s="53">
        <v>0</v>
      </c>
      <c r="U101" s="25"/>
      <c r="V101" s="5"/>
    </row>
    <row r="102" spans="1:23" x14ac:dyDescent="0.35">
      <c r="A102" s="24">
        <f>+A101+1</f>
        <v>2</v>
      </c>
      <c r="B102" s="25" t="s">
        <v>35</v>
      </c>
      <c r="C102" s="25"/>
      <c r="D102" s="25"/>
      <c r="E102" s="25"/>
      <c r="F102" s="25"/>
      <c r="G102" s="25"/>
      <c r="H102" s="25"/>
      <c r="I102" s="25"/>
      <c r="J102" s="25"/>
      <c r="K102" s="25"/>
      <c r="L102" s="25"/>
      <c r="M102" s="25"/>
      <c r="N102" s="25"/>
      <c r="O102" s="25"/>
      <c r="P102" s="25"/>
      <c r="Q102" s="25"/>
      <c r="R102" s="25"/>
      <c r="S102" s="25"/>
      <c r="T102" s="53">
        <v>-2</v>
      </c>
      <c r="U102" s="25"/>
      <c r="V102" s="5"/>
    </row>
    <row r="103" spans="1:23" x14ac:dyDescent="0.35">
      <c r="A103" s="24">
        <f>+A102+1</f>
        <v>3</v>
      </c>
      <c r="B103" s="25" t="s">
        <v>246</v>
      </c>
      <c r="C103" s="25"/>
      <c r="D103" s="25"/>
      <c r="E103" s="25"/>
      <c r="F103" s="25"/>
      <c r="G103" s="25"/>
      <c r="H103" s="25"/>
      <c r="I103" s="25"/>
      <c r="J103" s="25"/>
      <c r="K103" s="25"/>
      <c r="L103" s="25"/>
      <c r="M103" s="25"/>
      <c r="N103" s="25"/>
      <c r="O103" s="25"/>
      <c r="P103" s="25"/>
      <c r="Q103" s="25"/>
      <c r="R103" s="25"/>
      <c r="S103" s="25"/>
      <c r="T103" s="53">
        <f>-359-1-12</f>
        <v>-372</v>
      </c>
      <c r="U103" s="25"/>
      <c r="V103" s="5"/>
    </row>
    <row r="104" spans="1:23" x14ac:dyDescent="0.35">
      <c r="A104" s="24" t="s">
        <v>134</v>
      </c>
      <c r="B104" s="25" t="s">
        <v>123</v>
      </c>
      <c r="C104" s="25"/>
      <c r="D104" s="25"/>
      <c r="E104" s="25"/>
      <c r="F104" s="25"/>
      <c r="G104" s="25"/>
      <c r="H104" s="25"/>
      <c r="I104" s="25"/>
      <c r="J104" s="25"/>
      <c r="K104" s="25"/>
      <c r="L104" s="25"/>
      <c r="M104" s="25"/>
      <c r="N104" s="25"/>
      <c r="O104" s="25"/>
      <c r="P104" s="25"/>
      <c r="Q104" s="25"/>
      <c r="R104" s="25"/>
      <c r="S104" s="25"/>
      <c r="T104" s="53">
        <v>813</v>
      </c>
      <c r="U104" s="25"/>
      <c r="V104" s="5"/>
    </row>
    <row r="105" spans="1:23" x14ac:dyDescent="0.35">
      <c r="A105" s="24" t="s">
        <v>135</v>
      </c>
      <c r="B105" s="25" t="s">
        <v>169</v>
      </c>
      <c r="C105" s="25"/>
      <c r="D105" s="25"/>
      <c r="E105" s="25"/>
      <c r="F105" s="25"/>
      <c r="G105" s="25"/>
      <c r="H105" s="25"/>
      <c r="I105" s="25"/>
      <c r="J105" s="25"/>
      <c r="K105" s="25"/>
      <c r="L105" s="25"/>
      <c r="M105" s="25"/>
      <c r="N105" s="25"/>
      <c r="O105" s="25"/>
      <c r="P105" s="25"/>
      <c r="Q105" s="25"/>
      <c r="R105" s="25"/>
      <c r="S105" s="25"/>
      <c r="T105" s="53">
        <v>-2</v>
      </c>
      <c r="U105" s="25"/>
      <c r="V105" s="5"/>
    </row>
    <row r="106" spans="1:23" x14ac:dyDescent="0.35">
      <c r="A106" s="24" t="s">
        <v>157</v>
      </c>
      <c r="B106" s="25" t="s">
        <v>217</v>
      </c>
      <c r="C106" s="25"/>
      <c r="D106" s="25"/>
      <c r="E106" s="25"/>
      <c r="F106" s="25"/>
      <c r="G106" s="25"/>
      <c r="H106" s="25"/>
      <c r="I106" s="25"/>
      <c r="J106" s="25"/>
      <c r="K106" s="25"/>
      <c r="L106" s="25"/>
      <c r="M106" s="25"/>
      <c r="N106" s="25"/>
      <c r="O106" s="25"/>
      <c r="P106" s="25"/>
      <c r="Q106" s="25"/>
      <c r="R106" s="25"/>
      <c r="S106" s="25"/>
      <c r="T106" s="53">
        <f>-7426-1951</f>
        <v>-9377</v>
      </c>
      <c r="U106" s="25"/>
      <c r="V106" s="169"/>
      <c r="W106" s="109"/>
    </row>
    <row r="107" spans="1:23" x14ac:dyDescent="0.35">
      <c r="A107" s="24" t="s">
        <v>158</v>
      </c>
      <c r="B107" s="25" t="s">
        <v>213</v>
      </c>
      <c r="C107" s="25"/>
      <c r="D107" s="25"/>
      <c r="E107" s="25"/>
      <c r="F107" s="25"/>
      <c r="G107" s="25"/>
      <c r="H107" s="25"/>
      <c r="I107" s="25"/>
      <c r="J107" s="25"/>
      <c r="K107" s="25"/>
      <c r="L107" s="25"/>
      <c r="M107" s="25"/>
      <c r="N107" s="25"/>
      <c r="O107" s="25"/>
      <c r="P107" s="25"/>
      <c r="Q107" s="25"/>
      <c r="R107" s="25"/>
      <c r="S107" s="25"/>
      <c r="T107" s="53">
        <v>-1360</v>
      </c>
      <c r="U107" s="25"/>
      <c r="V107" s="5"/>
      <c r="W107" s="109"/>
    </row>
    <row r="108" spans="1:23" x14ac:dyDescent="0.35">
      <c r="A108" s="24" t="s">
        <v>247</v>
      </c>
      <c r="B108" s="25" t="s">
        <v>214</v>
      </c>
      <c r="C108" s="25"/>
      <c r="D108" s="25"/>
      <c r="E108" s="25"/>
      <c r="F108" s="25"/>
      <c r="G108" s="25"/>
      <c r="H108" s="25"/>
      <c r="I108" s="25"/>
      <c r="J108" s="25"/>
      <c r="K108" s="25"/>
      <c r="L108" s="25"/>
      <c r="M108" s="25"/>
      <c r="N108" s="25"/>
      <c r="O108" s="25"/>
      <c r="P108" s="25"/>
      <c r="Q108" s="25"/>
      <c r="R108" s="25"/>
      <c r="S108" s="25"/>
      <c r="T108" s="53">
        <v>-175</v>
      </c>
      <c r="U108" s="25"/>
      <c r="V108" s="5"/>
      <c r="W108" s="109"/>
    </row>
    <row r="109" spans="1:23" x14ac:dyDescent="0.35">
      <c r="A109" s="24" t="s">
        <v>248</v>
      </c>
      <c r="B109" s="25" t="s">
        <v>215</v>
      </c>
      <c r="C109" s="25"/>
      <c r="D109" s="25"/>
      <c r="E109" s="25"/>
      <c r="F109" s="25"/>
      <c r="G109" s="25"/>
      <c r="H109" s="25"/>
      <c r="I109" s="25"/>
      <c r="J109" s="25"/>
      <c r="K109" s="25"/>
      <c r="L109" s="25"/>
      <c r="M109" s="25"/>
      <c r="N109" s="25"/>
      <c r="O109" s="25"/>
      <c r="P109" s="25"/>
      <c r="Q109" s="25"/>
      <c r="R109" s="25"/>
      <c r="S109" s="25"/>
      <c r="T109" s="53">
        <v>-410</v>
      </c>
      <c r="U109" s="25"/>
      <c r="V109" s="5"/>
      <c r="W109" s="109"/>
    </row>
    <row r="110" spans="1:23" x14ac:dyDescent="0.35">
      <c r="A110" s="24" t="s">
        <v>249</v>
      </c>
      <c r="B110" s="25" t="s">
        <v>230</v>
      </c>
      <c r="C110" s="25"/>
      <c r="D110" s="25"/>
      <c r="E110" s="25"/>
      <c r="F110" s="25"/>
      <c r="G110" s="25"/>
      <c r="H110" s="25"/>
      <c r="I110" s="25"/>
      <c r="J110" s="25"/>
      <c r="K110" s="25"/>
      <c r="L110" s="25"/>
      <c r="M110" s="25"/>
      <c r="N110" s="25"/>
      <c r="O110" s="25"/>
      <c r="P110" s="25"/>
      <c r="Q110" s="25"/>
      <c r="R110" s="25"/>
      <c r="S110" s="25"/>
      <c r="T110" s="53">
        <v>-262</v>
      </c>
      <c r="U110" s="25"/>
      <c r="V110" s="5"/>
      <c r="W110" s="109"/>
    </row>
    <row r="111" spans="1:23" x14ac:dyDescent="0.35">
      <c r="A111" s="24" t="s">
        <v>250</v>
      </c>
      <c r="B111" s="25" t="s">
        <v>216</v>
      </c>
      <c r="C111" s="25"/>
      <c r="D111" s="25"/>
      <c r="E111" s="25"/>
      <c r="F111" s="25"/>
      <c r="G111" s="25"/>
      <c r="H111" s="25"/>
      <c r="I111" s="25"/>
      <c r="J111" s="25"/>
      <c r="K111" s="25"/>
      <c r="L111" s="25"/>
      <c r="M111" s="25"/>
      <c r="N111" s="25"/>
      <c r="O111" s="25"/>
      <c r="P111" s="25"/>
      <c r="Q111" s="25"/>
      <c r="R111" s="25"/>
      <c r="S111" s="25"/>
      <c r="T111" s="53">
        <v>-717</v>
      </c>
      <c r="U111" s="25"/>
      <c r="V111" s="5"/>
      <c r="W111" s="109"/>
    </row>
    <row r="112" spans="1:23" x14ac:dyDescent="0.35">
      <c r="A112" s="24">
        <v>7</v>
      </c>
      <c r="B112" s="25" t="s">
        <v>36</v>
      </c>
      <c r="C112" s="25"/>
      <c r="D112" s="25"/>
      <c r="E112" s="25"/>
      <c r="F112" s="25"/>
      <c r="G112" s="25"/>
      <c r="H112" s="25"/>
      <c r="I112" s="25"/>
      <c r="J112" s="25"/>
      <c r="K112" s="25"/>
      <c r="L112" s="25"/>
      <c r="M112" s="25"/>
      <c r="N112" s="25"/>
      <c r="O112" s="25"/>
      <c r="P112" s="25"/>
      <c r="Q112" s="25"/>
      <c r="R112" s="25"/>
      <c r="S112" s="25"/>
      <c r="T112" s="53">
        <v>-13</v>
      </c>
      <c r="U112" s="25"/>
      <c r="V112" s="5"/>
    </row>
    <row r="113" spans="1:22" x14ac:dyDescent="0.35">
      <c r="A113" s="24">
        <f t="shared" ref="A113:A118" si="0">+A112+1</f>
        <v>8</v>
      </c>
      <c r="B113" s="25" t="s">
        <v>47</v>
      </c>
      <c r="C113" s="25"/>
      <c r="D113" s="25"/>
      <c r="E113" s="25"/>
      <c r="F113" s="25"/>
      <c r="G113" s="25"/>
      <c r="H113" s="25"/>
      <c r="I113" s="25"/>
      <c r="J113" s="25"/>
      <c r="K113" s="25"/>
      <c r="L113" s="25"/>
      <c r="M113" s="25"/>
      <c r="N113" s="25"/>
      <c r="O113" s="25"/>
      <c r="P113" s="25"/>
      <c r="Q113" s="25"/>
      <c r="R113" s="25"/>
      <c r="S113" s="25"/>
      <c r="T113" s="53">
        <v>0</v>
      </c>
      <c r="U113" s="25"/>
      <c r="V113" s="5"/>
    </row>
    <row r="114" spans="1:22" x14ac:dyDescent="0.35">
      <c r="A114" s="24">
        <f t="shared" si="0"/>
        <v>9</v>
      </c>
      <c r="B114" s="25" t="s">
        <v>132</v>
      </c>
      <c r="C114" s="25"/>
      <c r="D114" s="25"/>
      <c r="E114" s="25"/>
      <c r="F114" s="25"/>
      <c r="G114" s="25"/>
      <c r="H114" s="25"/>
      <c r="I114" s="25"/>
      <c r="J114" s="25"/>
      <c r="K114" s="25"/>
      <c r="L114" s="25"/>
      <c r="M114" s="25"/>
      <c r="N114" s="25"/>
      <c r="O114" s="25"/>
      <c r="P114" s="25"/>
      <c r="Q114" s="25"/>
      <c r="R114" s="25"/>
      <c r="S114" s="25"/>
      <c r="T114" s="53">
        <v>0</v>
      </c>
      <c r="U114" s="25"/>
      <c r="V114" s="5"/>
    </row>
    <row r="115" spans="1:22" x14ac:dyDescent="0.35">
      <c r="A115" s="24">
        <f t="shared" si="0"/>
        <v>10</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11</v>
      </c>
      <c r="B116" s="25" t="s">
        <v>38</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12</v>
      </c>
      <c r="B117" s="25" t="s">
        <v>156</v>
      </c>
      <c r="C117" s="25"/>
      <c r="D117" s="25"/>
      <c r="E117" s="25"/>
      <c r="F117" s="25"/>
      <c r="G117" s="25"/>
      <c r="H117" s="25"/>
      <c r="I117" s="25"/>
      <c r="J117" s="25"/>
      <c r="K117" s="25"/>
      <c r="L117" s="25"/>
      <c r="M117" s="25"/>
      <c r="N117" s="25"/>
      <c r="O117" s="25"/>
      <c r="P117" s="25"/>
      <c r="Q117" s="25"/>
      <c r="R117" s="25"/>
      <c r="S117" s="25"/>
      <c r="T117" s="53">
        <v>-359</v>
      </c>
      <c r="U117" s="25"/>
      <c r="V117" s="5"/>
    </row>
    <row r="118" spans="1:22" x14ac:dyDescent="0.35">
      <c r="A118" s="24">
        <f t="shared" si="0"/>
        <v>13</v>
      </c>
      <c r="B118" s="25" t="s">
        <v>133</v>
      </c>
      <c r="C118" s="25"/>
      <c r="D118" s="25"/>
      <c r="E118" s="25"/>
      <c r="F118" s="25"/>
      <c r="G118" s="25"/>
      <c r="H118" s="25"/>
      <c r="I118" s="25"/>
      <c r="J118" s="25"/>
      <c r="K118" s="25"/>
      <c r="L118" s="25"/>
      <c r="M118" s="25"/>
      <c r="N118" s="25"/>
      <c r="O118" s="25"/>
      <c r="P118" s="25"/>
      <c r="Q118" s="25"/>
      <c r="R118" s="25"/>
      <c r="S118" s="25"/>
      <c r="T118" s="53">
        <f>-T99-SUM(T101:T117)</f>
        <v>-2938</v>
      </c>
      <c r="U118" s="25"/>
      <c r="V118" s="5"/>
    </row>
    <row r="119" spans="1:22" x14ac:dyDescent="0.35">
      <c r="A119" s="24"/>
      <c r="B119" s="118" t="s">
        <v>39</v>
      </c>
      <c r="C119" s="25"/>
      <c r="D119" s="25"/>
      <c r="E119" s="25"/>
      <c r="F119" s="25"/>
      <c r="G119" s="25"/>
      <c r="H119" s="25"/>
      <c r="I119" s="25"/>
      <c r="J119" s="25"/>
      <c r="K119" s="25"/>
      <c r="L119" s="25"/>
      <c r="M119" s="25"/>
      <c r="N119" s="25"/>
      <c r="O119" s="25"/>
      <c r="P119" s="25"/>
      <c r="Q119" s="25"/>
      <c r="R119" s="25"/>
      <c r="S119" s="25"/>
      <c r="T119" s="59"/>
      <c r="U119" s="25"/>
      <c r="V119" s="5"/>
    </row>
    <row r="120" spans="1:22" x14ac:dyDescent="0.35">
      <c r="A120" s="24"/>
      <c r="B120" s="25" t="s">
        <v>184</v>
      </c>
      <c r="C120" s="25"/>
      <c r="D120" s="25"/>
      <c r="E120" s="25"/>
      <c r="F120" s="25"/>
      <c r="G120" s="25"/>
      <c r="H120" s="25"/>
      <c r="I120" s="25"/>
      <c r="J120" s="25"/>
      <c r="K120" s="25"/>
      <c r="L120" s="25"/>
      <c r="M120" s="25"/>
      <c r="N120" s="25"/>
      <c r="O120" s="25"/>
      <c r="P120" s="25"/>
      <c r="Q120" s="25"/>
      <c r="R120" s="34">
        <f>-R179</f>
        <v>-275</v>
      </c>
      <c r="S120" s="34"/>
      <c r="T120" s="53"/>
      <c r="U120" s="25"/>
      <c r="V120" s="5"/>
    </row>
    <row r="121" spans="1:22" x14ac:dyDescent="0.35">
      <c r="A121" s="24"/>
      <c r="B121" s="25" t="s">
        <v>185</v>
      </c>
      <c r="C121" s="25"/>
      <c r="D121" s="25"/>
      <c r="E121" s="25"/>
      <c r="F121" s="25"/>
      <c r="G121" s="25"/>
      <c r="H121" s="25"/>
      <c r="I121" s="25"/>
      <c r="J121" s="25"/>
      <c r="K121" s="25"/>
      <c r="L121" s="25"/>
      <c r="M121" s="25"/>
      <c r="N121" s="25"/>
      <c r="O121" s="25"/>
      <c r="P121" s="25"/>
      <c r="Q121" s="25"/>
      <c r="R121" s="34">
        <v>-109</v>
      </c>
      <c r="S121" s="34"/>
      <c r="T121" s="53"/>
      <c r="U121" s="25"/>
      <c r="V121" s="5"/>
    </row>
    <row r="122" spans="1:22" x14ac:dyDescent="0.35">
      <c r="A122" s="24"/>
      <c r="B122" s="25" t="s">
        <v>40</v>
      </c>
      <c r="C122" s="25"/>
      <c r="D122" s="25"/>
      <c r="E122" s="25"/>
      <c r="F122" s="25"/>
      <c r="G122" s="25"/>
      <c r="H122" s="25"/>
      <c r="I122" s="25"/>
      <c r="J122" s="25"/>
      <c r="K122" s="25"/>
      <c r="L122" s="25"/>
      <c r="M122" s="25"/>
      <c r="N122" s="25"/>
      <c r="O122" s="25"/>
      <c r="P122" s="25"/>
      <c r="Q122" s="25"/>
      <c r="R122" s="34">
        <f>-Q179</f>
        <v>-4139</v>
      </c>
      <c r="S122" s="34"/>
      <c r="T122" s="53"/>
      <c r="U122" s="25"/>
      <c r="V122" s="5"/>
    </row>
    <row r="123" spans="1:22" x14ac:dyDescent="0.35">
      <c r="A123" s="24"/>
      <c r="B123" s="25" t="s">
        <v>231</v>
      </c>
      <c r="C123" s="25"/>
      <c r="D123" s="25"/>
      <c r="E123" s="25"/>
      <c r="F123" s="25"/>
      <c r="G123" s="25"/>
      <c r="H123" s="25"/>
      <c r="I123" s="25"/>
      <c r="J123" s="25"/>
      <c r="K123" s="25"/>
      <c r="L123" s="25"/>
      <c r="M123" s="25"/>
      <c r="N123" s="25"/>
      <c r="O123" s="25"/>
      <c r="P123" s="25"/>
      <c r="Q123" s="25"/>
      <c r="R123" s="34">
        <v>-20663</v>
      </c>
      <c r="S123" s="34"/>
      <c r="T123" s="53"/>
      <c r="U123" s="25"/>
      <c r="V123" s="5"/>
    </row>
    <row r="124" spans="1:22" x14ac:dyDescent="0.35">
      <c r="A124" s="24"/>
      <c r="B124" s="25" t="s">
        <v>229</v>
      </c>
      <c r="C124" s="25"/>
      <c r="D124" s="25"/>
      <c r="E124" s="25"/>
      <c r="F124" s="25"/>
      <c r="G124" s="25"/>
      <c r="H124" s="25"/>
      <c r="I124" s="25"/>
      <c r="J124" s="25"/>
      <c r="K124" s="25"/>
      <c r="L124" s="25"/>
      <c r="M124" s="25"/>
      <c r="N124" s="25"/>
      <c r="O124" s="25"/>
      <c r="P124" s="25"/>
      <c r="Q124" s="25"/>
      <c r="R124" s="34">
        <v>0</v>
      </c>
      <c r="S124" s="34"/>
      <c r="T124" s="53"/>
      <c r="U124" s="25"/>
      <c r="V124" s="5"/>
    </row>
    <row r="125" spans="1:22" x14ac:dyDescent="0.35">
      <c r="A125" s="24"/>
      <c r="B125" s="25" t="s">
        <v>228</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221</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220</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219</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218</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41</v>
      </c>
      <c r="C130" s="25"/>
      <c r="D130" s="25"/>
      <c r="E130" s="25"/>
      <c r="F130" s="25"/>
      <c r="G130" s="25"/>
      <c r="H130" s="25"/>
      <c r="I130" s="25"/>
      <c r="J130" s="25"/>
      <c r="K130" s="25"/>
      <c r="L130" s="25"/>
      <c r="M130" s="25"/>
      <c r="N130" s="25"/>
      <c r="O130" s="25"/>
      <c r="P130" s="25"/>
      <c r="Q130" s="25"/>
      <c r="R130" s="34">
        <f>SUM(R120:R129)</f>
        <v>-25186</v>
      </c>
      <c r="S130" s="34"/>
      <c r="T130" s="34">
        <f>SUM(T100:T128)</f>
        <v>-15174</v>
      </c>
      <c r="U130" s="25"/>
      <c r="V130" s="5"/>
    </row>
    <row r="131" spans="1:22" x14ac:dyDescent="0.35">
      <c r="A131" s="24"/>
      <c r="B131" s="25" t="s">
        <v>42</v>
      </c>
      <c r="C131" s="25"/>
      <c r="D131" s="25"/>
      <c r="E131" s="25"/>
      <c r="F131" s="25"/>
      <c r="G131" s="25"/>
      <c r="H131" s="25"/>
      <c r="I131" s="25"/>
      <c r="J131" s="25"/>
      <c r="K131" s="25"/>
      <c r="L131" s="25"/>
      <c r="M131" s="25"/>
      <c r="N131" s="25"/>
      <c r="O131" s="25"/>
      <c r="P131" s="25"/>
      <c r="Q131" s="25"/>
      <c r="R131" s="34">
        <f>R99+R130</f>
        <v>0</v>
      </c>
      <c r="S131" s="34"/>
      <c r="T131" s="34">
        <f>T99+T130</f>
        <v>0</v>
      </c>
      <c r="U131" s="25"/>
      <c r="V131" s="5"/>
    </row>
    <row r="132" spans="1:22" x14ac:dyDescent="0.35">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x14ac:dyDescent="0.35">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4">
      <c r="A134" s="101"/>
      <c r="B134" s="102" t="str">
        <f>B64</f>
        <v>PM10 INVESTOR REPORT QUARTER ENDING NOVEMBER 2006</v>
      </c>
      <c r="C134" s="103"/>
      <c r="D134" s="103"/>
      <c r="E134" s="103"/>
      <c r="F134" s="103"/>
      <c r="G134" s="103"/>
      <c r="H134" s="103"/>
      <c r="I134" s="103"/>
      <c r="J134" s="103"/>
      <c r="K134" s="103"/>
      <c r="L134" s="103"/>
      <c r="M134" s="103"/>
      <c r="N134" s="103"/>
      <c r="O134" s="103"/>
      <c r="P134" s="103"/>
      <c r="Q134" s="103"/>
      <c r="R134" s="103"/>
      <c r="S134" s="103"/>
      <c r="T134" s="106"/>
      <c r="U134" s="105"/>
      <c r="V134" s="5"/>
    </row>
    <row r="135" spans="1:22" x14ac:dyDescent="0.35">
      <c r="A135" s="2"/>
      <c r="B135" s="60" t="s">
        <v>43</v>
      </c>
      <c r="C135" s="4"/>
      <c r="D135" s="4"/>
      <c r="E135" s="4"/>
      <c r="F135" s="4"/>
      <c r="G135" s="4"/>
      <c r="H135" s="4"/>
      <c r="I135" s="4"/>
      <c r="J135" s="4"/>
      <c r="K135" s="4"/>
      <c r="L135" s="4"/>
      <c r="M135" s="4"/>
      <c r="N135" s="4"/>
      <c r="O135" s="4"/>
      <c r="P135" s="4"/>
      <c r="Q135" s="4"/>
      <c r="R135" s="4"/>
      <c r="S135" s="4"/>
      <c r="T135" s="50"/>
      <c r="U135" s="4"/>
      <c r="V135" s="5"/>
    </row>
    <row r="136" spans="1:22" x14ac:dyDescent="0.35">
      <c r="A136" s="6"/>
      <c r="B136" s="21"/>
      <c r="C136" s="8"/>
      <c r="D136" s="8"/>
      <c r="E136" s="8"/>
      <c r="F136" s="8"/>
      <c r="G136" s="8"/>
      <c r="H136" s="8"/>
      <c r="I136" s="8"/>
      <c r="J136" s="8"/>
      <c r="K136" s="8"/>
      <c r="L136" s="8"/>
      <c r="M136" s="8"/>
      <c r="N136" s="8"/>
      <c r="O136" s="8"/>
      <c r="P136" s="8"/>
      <c r="Q136" s="8"/>
      <c r="R136" s="8"/>
      <c r="S136" s="8"/>
      <c r="T136" s="52"/>
      <c r="U136" s="8"/>
      <c r="V136" s="5"/>
    </row>
    <row r="137" spans="1:22" x14ac:dyDescent="0.35">
      <c r="A137" s="6"/>
      <c r="B137" s="119" t="s">
        <v>44</v>
      </c>
      <c r="C137" s="8"/>
      <c r="D137" s="8"/>
      <c r="E137" s="8"/>
      <c r="F137" s="8"/>
      <c r="G137" s="8"/>
      <c r="H137" s="8"/>
      <c r="I137" s="8"/>
      <c r="J137" s="8"/>
      <c r="K137" s="8"/>
      <c r="L137" s="8"/>
      <c r="M137" s="8"/>
      <c r="N137" s="8"/>
      <c r="O137" s="8"/>
      <c r="P137" s="8"/>
      <c r="Q137" s="8"/>
      <c r="R137" s="8"/>
      <c r="S137" s="8"/>
      <c r="T137" s="52"/>
      <c r="U137" s="8"/>
      <c r="V137" s="5"/>
    </row>
    <row r="138" spans="1:22" x14ac:dyDescent="0.35">
      <c r="A138" s="24"/>
      <c r="B138" s="25" t="s">
        <v>45</v>
      </c>
      <c r="C138" s="25"/>
      <c r="D138" s="25"/>
      <c r="E138" s="25"/>
      <c r="F138" s="25"/>
      <c r="G138" s="25"/>
      <c r="H138" s="25"/>
      <c r="I138" s="25"/>
      <c r="J138" s="25"/>
      <c r="K138" s="25"/>
      <c r="L138" s="25"/>
      <c r="M138" s="25"/>
      <c r="N138" s="25"/>
      <c r="O138" s="25"/>
      <c r="P138" s="25"/>
      <c r="Q138" s="25"/>
      <c r="R138" s="25"/>
      <c r="S138" s="25"/>
      <c r="T138" s="53">
        <f>+T34*0.0186</f>
        <v>18606.565799999997</v>
      </c>
      <c r="U138" s="25"/>
      <c r="V138" s="5"/>
    </row>
    <row r="139" spans="1:22" x14ac:dyDescent="0.35">
      <c r="A139" s="24"/>
      <c r="B139" s="25" t="s">
        <v>46</v>
      </c>
      <c r="C139" s="25"/>
      <c r="D139" s="25"/>
      <c r="E139" s="25"/>
      <c r="F139" s="25"/>
      <c r="G139" s="25"/>
      <c r="H139" s="25"/>
      <c r="I139" s="25"/>
      <c r="J139" s="25"/>
      <c r="K139" s="25"/>
      <c r="L139" s="25"/>
      <c r="M139" s="25"/>
      <c r="N139" s="25"/>
      <c r="O139" s="25"/>
      <c r="P139" s="25"/>
      <c r="Q139" s="25"/>
      <c r="R139" s="25"/>
      <c r="S139" s="25"/>
      <c r="T139" s="53">
        <v>18607</v>
      </c>
      <c r="U139" s="25"/>
      <c r="V139" s="5"/>
    </row>
    <row r="140" spans="1:22" x14ac:dyDescent="0.35">
      <c r="A140" s="24"/>
      <c r="B140" s="25" t="s">
        <v>143</v>
      </c>
      <c r="C140" s="25"/>
      <c r="D140" s="25"/>
      <c r="E140" s="25"/>
      <c r="F140" s="25"/>
      <c r="G140" s="25"/>
      <c r="H140" s="25"/>
      <c r="I140" s="25"/>
      <c r="J140" s="25"/>
      <c r="K140" s="25"/>
      <c r="L140" s="25"/>
      <c r="M140" s="25"/>
      <c r="N140" s="25"/>
      <c r="O140" s="25"/>
      <c r="P140" s="25"/>
      <c r="Q140" s="25"/>
      <c r="R140" s="25"/>
      <c r="S140" s="25"/>
      <c r="T140" s="53">
        <v>0</v>
      </c>
      <c r="U140" s="25"/>
      <c r="V140" s="5"/>
    </row>
    <row r="141" spans="1:22" x14ac:dyDescent="0.35">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131</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186</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47</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136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222</v>
      </c>
      <c r="C146" s="25"/>
      <c r="D146" s="25"/>
      <c r="E146" s="25"/>
      <c r="F146" s="25"/>
      <c r="G146" s="25"/>
      <c r="H146" s="25"/>
      <c r="I146" s="25"/>
      <c r="J146" s="25"/>
      <c r="K146" s="25"/>
      <c r="L146" s="25"/>
      <c r="M146" s="25"/>
      <c r="N146" s="25"/>
      <c r="O146" s="25"/>
      <c r="P146" s="25"/>
      <c r="Q146" s="25"/>
      <c r="R146" s="25"/>
      <c r="S146" s="25"/>
      <c r="T146" s="53">
        <v>0</v>
      </c>
      <c r="U146" s="25"/>
      <c r="V146" s="5"/>
      <c r="W146" s="109"/>
    </row>
    <row r="147" spans="1:23" x14ac:dyDescent="0.35">
      <c r="A147" s="24"/>
      <c r="B147" s="25" t="s">
        <v>48</v>
      </c>
      <c r="C147" s="25"/>
      <c r="D147" s="25"/>
      <c r="E147" s="25"/>
      <c r="F147" s="25"/>
      <c r="G147" s="25"/>
      <c r="H147" s="25"/>
      <c r="I147" s="25"/>
      <c r="J147" s="25"/>
      <c r="K147" s="25"/>
      <c r="L147" s="25"/>
      <c r="M147" s="25"/>
      <c r="N147" s="25"/>
      <c r="O147" s="25"/>
      <c r="P147" s="25"/>
      <c r="Q147" s="25"/>
      <c r="R147" s="25"/>
      <c r="S147" s="25"/>
      <c r="T147" s="53">
        <f>SUM(T139:T146)</f>
        <v>18607</v>
      </c>
      <c r="U147" s="25"/>
      <c r="V147" s="5"/>
    </row>
    <row r="148" spans="1:23" x14ac:dyDescent="0.35">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x14ac:dyDescent="0.35">
      <c r="A149" s="24"/>
      <c r="B149" s="139" t="s">
        <v>266</v>
      </c>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25" t="s">
        <v>163</v>
      </c>
      <c r="C150" s="25"/>
      <c r="D150" s="25"/>
      <c r="E150" s="25"/>
      <c r="F150" s="25"/>
      <c r="G150" s="25"/>
      <c r="H150" s="25"/>
      <c r="I150" s="25"/>
      <c r="J150" s="25"/>
      <c r="K150" s="25"/>
      <c r="L150" s="25"/>
      <c r="M150" s="25"/>
      <c r="N150" s="25"/>
      <c r="O150" s="25"/>
      <c r="P150" s="25"/>
      <c r="Q150" s="25"/>
      <c r="R150" s="25"/>
      <c r="S150" s="25"/>
      <c r="T150" s="53">
        <v>5750</v>
      </c>
      <c r="U150" s="25"/>
      <c r="V150" s="5"/>
    </row>
    <row r="151" spans="1:23" x14ac:dyDescent="0.35">
      <c r="A151" s="24"/>
      <c r="B151" s="25" t="s">
        <v>264</v>
      </c>
      <c r="C151" s="25"/>
      <c r="D151" s="25"/>
      <c r="E151" s="25"/>
      <c r="F151" s="25"/>
      <c r="G151" s="25"/>
      <c r="H151" s="25"/>
      <c r="I151" s="25"/>
      <c r="J151" s="25"/>
      <c r="K151" s="25"/>
      <c r="L151" s="25"/>
      <c r="M151" s="25"/>
      <c r="N151" s="25"/>
      <c r="O151" s="25"/>
      <c r="P151" s="25"/>
      <c r="Q151" s="25"/>
      <c r="R151" s="25"/>
      <c r="S151" s="25"/>
      <c r="T151" s="53">
        <v>5048</v>
      </c>
      <c r="U151" s="25"/>
      <c r="V151" s="5"/>
    </row>
    <row r="152" spans="1:23" x14ac:dyDescent="0.35">
      <c r="A152" s="24"/>
      <c r="B152" s="25" t="s">
        <v>183</v>
      </c>
      <c r="C152" s="25"/>
      <c r="D152" s="25"/>
      <c r="E152" s="25"/>
      <c r="F152" s="25"/>
      <c r="G152" s="25"/>
      <c r="H152" s="25"/>
      <c r="I152" s="25"/>
      <c r="J152" s="25"/>
      <c r="K152" s="25"/>
      <c r="L152" s="25"/>
      <c r="M152" s="25"/>
      <c r="N152" s="25"/>
      <c r="O152" s="25"/>
      <c r="P152" s="25"/>
      <c r="Q152" s="25"/>
      <c r="R152" s="25"/>
      <c r="S152" s="25"/>
      <c r="T152" s="53">
        <v>0</v>
      </c>
      <c r="U152" s="25"/>
      <c r="V152" s="5"/>
    </row>
    <row r="153" spans="1:23" x14ac:dyDescent="0.35">
      <c r="A153" s="24"/>
      <c r="B153" s="25" t="s">
        <v>267</v>
      </c>
      <c r="C153" s="25"/>
      <c r="D153" s="25"/>
      <c r="E153" s="25"/>
      <c r="F153" s="25"/>
      <c r="G153" s="25"/>
      <c r="H153" s="25"/>
      <c r="I153" s="25"/>
      <c r="J153" s="25"/>
      <c r="K153" s="25"/>
      <c r="L153" s="25"/>
      <c r="M153" s="25"/>
      <c r="N153" s="25"/>
      <c r="O153" s="25"/>
      <c r="P153" s="25"/>
      <c r="Q153" s="25"/>
      <c r="R153" s="25"/>
      <c r="S153" s="25"/>
      <c r="T153" s="53">
        <v>4721</v>
      </c>
      <c r="U153" s="25"/>
      <c r="V153" s="5"/>
    </row>
    <row r="154" spans="1:23" x14ac:dyDescent="0.35">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x14ac:dyDescent="0.35">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x14ac:dyDescent="0.35">
      <c r="A156" s="6"/>
      <c r="B156" s="119" t="s">
        <v>24</v>
      </c>
      <c r="C156" s="8"/>
      <c r="D156" s="8"/>
      <c r="E156" s="8"/>
      <c r="F156" s="8"/>
      <c r="G156" s="8"/>
      <c r="H156" s="8"/>
      <c r="I156" s="8"/>
      <c r="J156" s="8"/>
      <c r="K156" s="8"/>
      <c r="L156" s="8"/>
      <c r="M156" s="8"/>
      <c r="N156" s="8"/>
      <c r="O156" s="8"/>
      <c r="P156" s="8"/>
      <c r="Q156" s="8"/>
      <c r="R156" s="8"/>
      <c r="S156" s="8"/>
      <c r="T156" s="52"/>
      <c r="U156" s="8"/>
      <c r="V156" s="5"/>
    </row>
    <row r="157" spans="1:23" x14ac:dyDescent="0.35">
      <c r="A157" s="24"/>
      <c r="B157" s="25" t="s">
        <v>49</v>
      </c>
      <c r="C157" s="25"/>
      <c r="D157" s="25"/>
      <c r="E157" s="25"/>
      <c r="F157" s="25"/>
      <c r="G157" s="25"/>
      <c r="H157" s="25"/>
      <c r="I157" s="25"/>
      <c r="J157" s="25"/>
      <c r="K157" s="25"/>
      <c r="L157" s="25"/>
      <c r="M157" s="25"/>
      <c r="N157" s="25"/>
      <c r="O157" s="25"/>
      <c r="P157" s="25"/>
      <c r="Q157" s="25"/>
      <c r="R157" s="25"/>
      <c r="S157" s="25"/>
      <c r="T157" s="59" t="s">
        <v>125</v>
      </c>
      <c r="U157" s="25"/>
      <c r="V157" s="5"/>
    </row>
    <row r="158" spans="1:23" x14ac:dyDescent="0.35">
      <c r="A158" s="24"/>
      <c r="B158" s="25" t="s">
        <v>50</v>
      </c>
      <c r="C158" s="164"/>
      <c r="D158" s="164"/>
      <c r="E158" s="164"/>
      <c r="F158" s="164"/>
      <c r="G158" s="164"/>
      <c r="H158" s="164"/>
      <c r="I158" s="164"/>
      <c r="J158" s="164"/>
      <c r="K158" s="164"/>
      <c r="L158" s="164"/>
      <c r="M158" s="164"/>
      <c r="N158" s="164"/>
      <c r="O158" s="164"/>
      <c r="P158" s="164"/>
      <c r="Q158" s="164"/>
      <c r="R158" s="164"/>
      <c r="S158" s="164"/>
      <c r="T158" s="59" t="s">
        <v>125</v>
      </c>
      <c r="U158" s="25"/>
      <c r="V158" s="5"/>
    </row>
    <row r="159" spans="1:23" x14ac:dyDescent="0.35">
      <c r="A159" s="24"/>
      <c r="B159" s="25" t="s">
        <v>51</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52</v>
      </c>
      <c r="C160" s="25"/>
      <c r="D160" s="25"/>
      <c r="E160" s="25"/>
      <c r="F160" s="25"/>
      <c r="G160" s="25"/>
      <c r="H160" s="25"/>
      <c r="I160" s="25"/>
      <c r="J160" s="25"/>
      <c r="K160" s="25"/>
      <c r="L160" s="25"/>
      <c r="M160" s="25"/>
      <c r="N160" s="25"/>
      <c r="O160" s="25"/>
      <c r="P160" s="25"/>
      <c r="Q160" s="25"/>
      <c r="R160" s="25"/>
      <c r="S160" s="25"/>
      <c r="T160" s="59" t="s">
        <v>125</v>
      </c>
      <c r="U160" s="25"/>
      <c r="V160" s="5"/>
    </row>
    <row r="161" spans="1:22" x14ac:dyDescent="0.35">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x14ac:dyDescent="0.35">
      <c r="A162" s="6"/>
      <c r="B162" s="119" t="s">
        <v>53</v>
      </c>
      <c r="C162" s="8"/>
      <c r="D162" s="8"/>
      <c r="E162" s="8"/>
      <c r="F162" s="8"/>
      <c r="G162" s="8"/>
      <c r="H162" s="8"/>
      <c r="I162" s="8"/>
      <c r="J162" s="8"/>
      <c r="K162" s="8"/>
      <c r="L162" s="8"/>
      <c r="M162" s="8"/>
      <c r="N162" s="8"/>
      <c r="O162" s="8"/>
      <c r="P162" s="8"/>
      <c r="Q162" s="8"/>
      <c r="R162" s="8"/>
      <c r="S162" s="8"/>
      <c r="T162" s="63"/>
      <c r="U162" s="8"/>
      <c r="V162" s="5"/>
    </row>
    <row r="163" spans="1:22" x14ac:dyDescent="0.35">
      <c r="A163" s="24"/>
      <c r="B163" s="25" t="s">
        <v>54</v>
      </c>
      <c r="C163" s="25"/>
      <c r="D163" s="25"/>
      <c r="E163" s="25"/>
      <c r="F163" s="25"/>
      <c r="G163" s="25"/>
      <c r="H163" s="25"/>
      <c r="I163" s="25"/>
      <c r="J163" s="25"/>
      <c r="K163" s="25"/>
      <c r="L163" s="25"/>
      <c r="M163" s="25"/>
      <c r="N163" s="25"/>
      <c r="O163" s="25"/>
      <c r="P163" s="25"/>
      <c r="Q163" s="25"/>
      <c r="R163" s="25"/>
      <c r="S163" s="25"/>
      <c r="T163" s="53">
        <v>0</v>
      </c>
      <c r="U163" s="25"/>
      <c r="V163" s="5"/>
    </row>
    <row r="164" spans="1:22" x14ac:dyDescent="0.35">
      <c r="A164" s="24"/>
      <c r="B164" s="25" t="s">
        <v>55</v>
      </c>
      <c r="C164" s="25"/>
      <c r="D164" s="25"/>
      <c r="E164" s="25"/>
      <c r="F164" s="25"/>
      <c r="G164" s="25"/>
      <c r="H164" s="25"/>
      <c r="I164" s="25"/>
      <c r="J164" s="25"/>
      <c r="K164" s="25"/>
      <c r="L164" s="25"/>
      <c r="M164" s="25"/>
      <c r="N164" s="25"/>
      <c r="O164" s="25"/>
      <c r="P164" s="25"/>
      <c r="Q164" s="25"/>
      <c r="R164" s="25"/>
      <c r="S164" s="25"/>
      <c r="T164" s="53">
        <v>0</v>
      </c>
      <c r="U164" s="25"/>
      <c r="V164" s="5"/>
    </row>
    <row r="165" spans="1:22" x14ac:dyDescent="0.35">
      <c r="A165" s="24"/>
      <c r="B165" s="25" t="s">
        <v>56</v>
      </c>
      <c r="C165" s="25"/>
      <c r="D165" s="25"/>
      <c r="E165" s="25"/>
      <c r="F165" s="25"/>
      <c r="G165" s="25"/>
      <c r="H165" s="25"/>
      <c r="I165" s="25"/>
      <c r="J165" s="25"/>
      <c r="K165" s="25"/>
      <c r="L165" s="25"/>
      <c r="M165" s="25"/>
      <c r="N165" s="25"/>
      <c r="O165" s="25"/>
      <c r="P165" s="25"/>
      <c r="Q165" s="25"/>
      <c r="R165" s="25"/>
      <c r="S165" s="25"/>
      <c r="T165" s="53">
        <f>T164+T163</f>
        <v>0</v>
      </c>
      <c r="U165" s="25"/>
      <c r="V165" s="5"/>
    </row>
    <row r="166" spans="1:22" x14ac:dyDescent="0.35">
      <c r="A166" s="24"/>
      <c r="B166" s="25" t="s">
        <v>315</v>
      </c>
      <c r="C166" s="25"/>
      <c r="D166" s="25"/>
      <c r="E166" s="25"/>
      <c r="F166" s="25"/>
      <c r="G166" s="25"/>
      <c r="H166" s="25"/>
      <c r="I166" s="25"/>
      <c r="J166" s="25"/>
      <c r="K166" s="25"/>
      <c r="L166" s="25"/>
      <c r="M166" s="25"/>
      <c r="N166" s="25"/>
      <c r="O166" s="25"/>
      <c r="P166" s="25"/>
      <c r="Q166" s="25"/>
      <c r="R166" s="25"/>
      <c r="S166" s="25"/>
      <c r="T166" s="53">
        <f>T114</f>
        <v>0</v>
      </c>
      <c r="U166" s="25"/>
      <c r="V166" s="5"/>
    </row>
    <row r="167" spans="1:22" x14ac:dyDescent="0.35">
      <c r="A167" s="24"/>
      <c r="B167" s="25" t="s">
        <v>57</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 thickBot="1" x14ac:dyDescent="0.4">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x14ac:dyDescent="0.35">
      <c r="A169" s="2"/>
      <c r="B169" s="4"/>
      <c r="C169" s="4"/>
      <c r="D169" s="4"/>
      <c r="E169" s="4"/>
      <c r="F169" s="4"/>
      <c r="G169" s="4"/>
      <c r="H169" s="4"/>
      <c r="I169" s="4"/>
      <c r="J169" s="4"/>
      <c r="K169" s="4"/>
      <c r="L169" s="4"/>
      <c r="M169" s="4"/>
      <c r="N169" s="4"/>
      <c r="O169" s="4"/>
      <c r="P169" s="4"/>
      <c r="Q169" s="4"/>
      <c r="R169" s="4"/>
      <c r="S169" s="4"/>
      <c r="T169" s="50"/>
      <c r="U169" s="4"/>
      <c r="V169" s="5"/>
    </row>
    <row r="170" spans="1:22" x14ac:dyDescent="0.35">
      <c r="A170" s="6"/>
      <c r="B170" s="119" t="s">
        <v>58</v>
      </c>
      <c r="C170" s="8"/>
      <c r="D170" s="8"/>
      <c r="E170" s="8"/>
      <c r="F170" s="8"/>
      <c r="G170" s="8"/>
      <c r="H170" s="8"/>
      <c r="I170" s="8"/>
      <c r="J170" s="8"/>
      <c r="K170" s="8"/>
      <c r="L170" s="8"/>
      <c r="M170" s="8"/>
      <c r="N170" s="8"/>
      <c r="O170" s="8"/>
      <c r="P170" s="8"/>
      <c r="Q170" s="8"/>
      <c r="R170" s="8"/>
      <c r="S170" s="8"/>
      <c r="T170" s="52"/>
      <c r="U170" s="8"/>
      <c r="V170" s="5"/>
    </row>
    <row r="171" spans="1:22" x14ac:dyDescent="0.35">
      <c r="A171" s="6"/>
      <c r="B171" s="21"/>
      <c r="C171" s="8"/>
      <c r="D171" s="8"/>
      <c r="E171" s="8"/>
      <c r="F171" s="8"/>
      <c r="G171" s="8"/>
      <c r="H171" s="8"/>
      <c r="I171" s="8"/>
      <c r="J171" s="8"/>
      <c r="K171" s="8"/>
      <c r="L171" s="8"/>
      <c r="M171" s="8"/>
      <c r="N171" s="8"/>
      <c r="O171" s="8"/>
      <c r="P171" s="8"/>
      <c r="Q171" s="8"/>
      <c r="R171" s="8"/>
      <c r="S171" s="8"/>
      <c r="T171" s="52"/>
      <c r="U171" s="8"/>
      <c r="V171" s="5"/>
    </row>
    <row r="172" spans="1:22" x14ac:dyDescent="0.35">
      <c r="A172" s="24"/>
      <c r="B172" s="25" t="s">
        <v>59</v>
      </c>
      <c r="C172" s="25"/>
      <c r="D172" s="25"/>
      <c r="E172" s="25"/>
      <c r="F172" s="25"/>
      <c r="G172" s="25"/>
      <c r="H172" s="25"/>
      <c r="I172" s="25"/>
      <c r="J172" s="25"/>
      <c r="K172" s="25"/>
      <c r="L172" s="25"/>
      <c r="M172" s="25"/>
      <c r="N172" s="25"/>
      <c r="O172" s="25"/>
      <c r="P172" s="25"/>
      <c r="Q172" s="25"/>
      <c r="R172" s="25"/>
      <c r="S172" s="25"/>
      <c r="T172" s="53">
        <f>T72</f>
        <v>939695</v>
      </c>
      <c r="U172" s="25"/>
      <c r="V172" s="5"/>
    </row>
    <row r="173" spans="1:22" x14ac:dyDescent="0.35">
      <c r="A173" s="24"/>
      <c r="B173" s="25" t="s">
        <v>60</v>
      </c>
      <c r="C173" s="25"/>
      <c r="D173" s="25"/>
      <c r="E173" s="25"/>
      <c r="F173" s="25"/>
      <c r="G173" s="25"/>
      <c r="H173" s="25"/>
      <c r="I173" s="25"/>
      <c r="J173" s="25"/>
      <c r="K173" s="25"/>
      <c r="L173" s="25"/>
      <c r="M173" s="25"/>
      <c r="N173" s="25"/>
      <c r="O173" s="25"/>
      <c r="P173" s="25"/>
      <c r="Q173" s="25"/>
      <c r="R173" s="25"/>
      <c r="S173" s="25"/>
      <c r="T173" s="53">
        <f>T85</f>
        <v>939695</v>
      </c>
      <c r="U173" s="25"/>
      <c r="V173" s="5"/>
    </row>
    <row r="174" spans="1:22" ht="16" thickBot="1" x14ac:dyDescent="0.4">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x14ac:dyDescent="0.35">
      <c r="A175" s="2"/>
      <c r="B175" s="4"/>
      <c r="C175" s="4"/>
      <c r="D175" s="4"/>
      <c r="E175" s="4"/>
      <c r="F175" s="4"/>
      <c r="G175" s="4"/>
      <c r="H175" s="4"/>
      <c r="I175" s="4"/>
      <c r="J175" s="4"/>
      <c r="K175" s="4"/>
      <c r="L175" s="4"/>
      <c r="M175" s="4"/>
      <c r="N175" s="4"/>
      <c r="O175" s="4"/>
      <c r="P175" s="4"/>
      <c r="Q175" s="4"/>
      <c r="R175" s="4"/>
      <c r="S175" s="4"/>
      <c r="T175" s="50"/>
      <c r="U175" s="4"/>
      <c r="V175" s="5"/>
    </row>
    <row r="176" spans="1:22" x14ac:dyDescent="0.35">
      <c r="A176" s="6"/>
      <c r="B176" s="119" t="s">
        <v>61</v>
      </c>
      <c r="C176" s="117"/>
      <c r="D176" s="117"/>
      <c r="E176" s="117"/>
      <c r="F176" s="117"/>
      <c r="G176" s="117"/>
      <c r="H176" s="120"/>
      <c r="I176" s="120"/>
      <c r="J176" s="120"/>
      <c r="K176" s="120"/>
      <c r="L176" s="120"/>
      <c r="M176" s="120"/>
      <c r="N176" s="120"/>
      <c r="O176" s="120"/>
      <c r="P176" s="120"/>
      <c r="Q176" s="120" t="s">
        <v>105</v>
      </c>
      <c r="R176" s="120" t="s">
        <v>187</v>
      </c>
      <c r="S176" s="111"/>
      <c r="T176" s="121" t="s">
        <v>121</v>
      </c>
      <c r="U176" s="10"/>
      <c r="V176" s="5"/>
    </row>
    <row r="177" spans="1:22" x14ac:dyDescent="0.35">
      <c r="A177" s="24"/>
      <c r="B177" s="25" t="s">
        <v>62</v>
      </c>
      <c r="C177" s="25"/>
      <c r="D177" s="25"/>
      <c r="E177" s="25"/>
      <c r="F177" s="25"/>
      <c r="G177" s="25"/>
      <c r="H177" s="25"/>
      <c r="I177" s="25"/>
      <c r="J177" s="25"/>
      <c r="K177" s="25"/>
      <c r="L177" s="25"/>
      <c r="M177" s="25"/>
      <c r="N177" s="25"/>
      <c r="O177" s="25"/>
      <c r="P177" s="25"/>
      <c r="Q177" s="53">
        <f>+T34*0.16</f>
        <v>160056.48000000001</v>
      </c>
      <c r="R177" s="40"/>
      <c r="S177" s="25"/>
      <c r="T177" s="53"/>
      <c r="U177" s="25"/>
      <c r="V177" s="5"/>
    </row>
    <row r="178" spans="1:22" x14ac:dyDescent="0.35">
      <c r="A178" s="24"/>
      <c r="B178" s="25" t="s">
        <v>63</v>
      </c>
      <c r="C178" s="25"/>
      <c r="D178" s="25"/>
      <c r="E178" s="25"/>
      <c r="F178" s="25"/>
      <c r="G178" s="25"/>
      <c r="H178" s="25"/>
      <c r="I178" s="25"/>
      <c r="J178" s="25"/>
      <c r="K178" s="25"/>
      <c r="L178" s="25"/>
      <c r="M178" s="25"/>
      <c r="N178" s="25"/>
      <c r="O178" s="25"/>
      <c r="P178" s="25"/>
      <c r="Q178" s="53">
        <f>'Aug 06'!Q180</f>
        <v>12985</v>
      </c>
      <c r="R178" s="53">
        <f>'Aug 06'!R180</f>
        <v>4695</v>
      </c>
      <c r="S178" s="25"/>
      <c r="T178" s="53">
        <f>Q178+R178</f>
        <v>17680</v>
      </c>
      <c r="U178" s="25"/>
      <c r="V178" s="5"/>
    </row>
    <row r="179" spans="1:22" x14ac:dyDescent="0.35">
      <c r="A179" s="24"/>
      <c r="B179" s="25" t="s">
        <v>64</v>
      </c>
      <c r="C179" s="25"/>
      <c r="D179" s="25"/>
      <c r="E179" s="25"/>
      <c r="F179" s="25"/>
      <c r="G179" s="25"/>
      <c r="H179" s="25"/>
      <c r="I179" s="25"/>
      <c r="J179" s="25"/>
      <c r="K179" s="25"/>
      <c r="L179" s="25"/>
      <c r="M179" s="25"/>
      <c r="N179" s="25"/>
      <c r="O179" s="25"/>
      <c r="P179" s="25"/>
      <c r="Q179" s="34">
        <v>4139</v>
      </c>
      <c r="R179" s="34">
        <v>275</v>
      </c>
      <c r="S179" s="25"/>
      <c r="T179" s="53">
        <f>Q179+R179</f>
        <v>4414</v>
      </c>
      <c r="U179" s="25"/>
      <c r="V179" s="5"/>
    </row>
    <row r="180" spans="1:22" x14ac:dyDescent="0.35">
      <c r="A180" s="24"/>
      <c r="B180" s="25" t="s">
        <v>65</v>
      </c>
      <c r="C180" s="25"/>
      <c r="D180" s="25"/>
      <c r="E180" s="25"/>
      <c r="F180" s="25"/>
      <c r="G180" s="25"/>
      <c r="H180" s="25"/>
      <c r="I180" s="25"/>
      <c r="J180" s="25"/>
      <c r="K180" s="25"/>
      <c r="L180" s="25"/>
      <c r="M180" s="25"/>
      <c r="N180" s="25"/>
      <c r="O180" s="25"/>
      <c r="P180" s="25"/>
      <c r="Q180" s="53">
        <f>Q178+Q179</f>
        <v>17124</v>
      </c>
      <c r="R180" s="53">
        <f>R179+R178</f>
        <v>4970</v>
      </c>
      <c r="S180" s="25"/>
      <c r="T180" s="53">
        <f>Q180+R180</f>
        <v>22094</v>
      </c>
      <c r="U180" s="25"/>
      <c r="V180" s="5"/>
    </row>
    <row r="181" spans="1:22" x14ac:dyDescent="0.35">
      <c r="A181" s="24"/>
      <c r="B181" s="25" t="s">
        <v>66</v>
      </c>
      <c r="C181" s="25"/>
      <c r="D181" s="25"/>
      <c r="E181" s="25"/>
      <c r="F181" s="25"/>
      <c r="G181" s="25"/>
      <c r="H181" s="25"/>
      <c r="I181" s="25"/>
      <c r="J181" s="25"/>
      <c r="K181" s="25"/>
      <c r="L181" s="25"/>
      <c r="M181" s="25"/>
      <c r="N181" s="25"/>
      <c r="O181" s="25"/>
      <c r="P181" s="25"/>
      <c r="Q181" s="53">
        <f>Q177-Q180-R180</f>
        <v>137962.48000000001</v>
      </c>
      <c r="R181" s="40"/>
      <c r="S181" s="25"/>
      <c r="T181" s="53"/>
      <c r="U181" s="25"/>
      <c r="V181" s="5"/>
    </row>
    <row r="182" spans="1:22" ht="16" thickBot="1" x14ac:dyDescent="0.4">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x14ac:dyDescent="0.35">
      <c r="A183" s="2"/>
      <c r="B183" s="4"/>
      <c r="C183" s="4"/>
      <c r="D183" s="4"/>
      <c r="E183" s="4"/>
      <c r="F183" s="4"/>
      <c r="G183" s="4"/>
      <c r="H183" s="4"/>
      <c r="I183" s="4"/>
      <c r="J183" s="4"/>
      <c r="K183" s="4"/>
      <c r="L183" s="4"/>
      <c r="M183" s="4"/>
      <c r="N183" s="4"/>
      <c r="O183" s="4"/>
      <c r="P183" s="4"/>
      <c r="Q183" s="4"/>
      <c r="R183" s="4"/>
      <c r="S183" s="4"/>
      <c r="T183" s="50"/>
      <c r="U183" s="4"/>
      <c r="V183" s="5"/>
    </row>
    <row r="184" spans="1:22" x14ac:dyDescent="0.35">
      <c r="A184" s="6"/>
      <c r="B184" s="119" t="s">
        <v>67</v>
      </c>
      <c r="C184" s="8"/>
      <c r="D184" s="8"/>
      <c r="E184" s="8"/>
      <c r="F184" s="8"/>
      <c r="G184" s="8"/>
      <c r="H184" s="8"/>
      <c r="I184" s="8"/>
      <c r="J184" s="8"/>
      <c r="K184" s="8"/>
      <c r="L184" s="8"/>
      <c r="M184" s="8"/>
      <c r="N184" s="8"/>
      <c r="O184" s="8"/>
      <c r="P184" s="8"/>
      <c r="Q184" s="8"/>
      <c r="R184" s="8"/>
      <c r="S184" s="8"/>
      <c r="T184" s="65"/>
      <c r="U184" s="8"/>
      <c r="V184" s="5"/>
    </row>
    <row r="185" spans="1:22" x14ac:dyDescent="0.35">
      <c r="A185" s="24"/>
      <c r="B185" s="25" t="s">
        <v>68</v>
      </c>
      <c r="C185" s="25"/>
      <c r="D185" s="25"/>
      <c r="E185" s="25"/>
      <c r="F185" s="25"/>
      <c r="G185" s="25"/>
      <c r="H185" s="25"/>
      <c r="I185" s="25"/>
      <c r="J185" s="25"/>
      <c r="K185" s="25"/>
      <c r="L185" s="25"/>
      <c r="M185" s="25"/>
      <c r="N185" s="25"/>
      <c r="O185" s="25"/>
      <c r="P185" s="25"/>
      <c r="Q185" s="25"/>
      <c r="R185" s="25"/>
      <c r="S185" s="25"/>
      <c r="T185" s="59">
        <f>(T99+T101+T102+T103+T104+T105)/-(T106+T107)</f>
        <v>1.4539443047406166</v>
      </c>
      <c r="U185" s="25" t="s">
        <v>122</v>
      </c>
      <c r="V185" s="5"/>
    </row>
    <row r="186" spans="1:22" x14ac:dyDescent="0.35">
      <c r="A186" s="24"/>
      <c r="B186" s="25" t="s">
        <v>69</v>
      </c>
      <c r="C186" s="25"/>
      <c r="D186" s="25"/>
      <c r="E186" s="25"/>
      <c r="F186" s="25"/>
      <c r="G186" s="25"/>
      <c r="H186" s="25"/>
      <c r="I186" s="25"/>
      <c r="J186" s="25"/>
      <c r="K186" s="25"/>
      <c r="L186" s="25"/>
      <c r="M186" s="25"/>
      <c r="N186" s="25"/>
      <c r="O186" s="25"/>
      <c r="P186" s="25"/>
      <c r="Q186" s="25"/>
      <c r="R186" s="25"/>
      <c r="S186" s="25"/>
      <c r="T186" s="66">
        <v>1.41</v>
      </c>
      <c r="U186" s="25" t="s">
        <v>122</v>
      </c>
      <c r="V186" s="5"/>
    </row>
    <row r="187" spans="1:22" x14ac:dyDescent="0.35">
      <c r="A187" s="24"/>
      <c r="B187" s="25" t="s">
        <v>70</v>
      </c>
      <c r="C187" s="25"/>
      <c r="D187" s="25"/>
      <c r="E187" s="25"/>
      <c r="F187" s="25"/>
      <c r="G187" s="25"/>
      <c r="H187" s="25"/>
      <c r="I187" s="25"/>
      <c r="J187" s="25"/>
      <c r="K187" s="25"/>
      <c r="L187" s="25"/>
      <c r="M187" s="25"/>
      <c r="N187" s="25"/>
      <c r="O187" s="25"/>
      <c r="P187" s="25"/>
      <c r="Q187" s="25"/>
      <c r="R187" s="25"/>
      <c r="S187" s="25"/>
      <c r="T187" s="59">
        <f>(T99+T101+T102+T103+T104+T105+T106+T107)/-(T108+T109)</f>
        <v>8.3316239316239322</v>
      </c>
      <c r="U187" s="25" t="s">
        <v>122</v>
      </c>
      <c r="V187" s="5"/>
    </row>
    <row r="188" spans="1:22" x14ac:dyDescent="0.35">
      <c r="A188" s="24"/>
      <c r="B188" s="25" t="s">
        <v>71</v>
      </c>
      <c r="C188" s="25"/>
      <c r="D188" s="25"/>
      <c r="E188" s="25"/>
      <c r="F188" s="25"/>
      <c r="G188" s="25"/>
      <c r="H188" s="25"/>
      <c r="I188" s="25"/>
      <c r="J188" s="25"/>
      <c r="K188" s="25"/>
      <c r="L188" s="25"/>
      <c r="M188" s="25"/>
      <c r="N188" s="25"/>
      <c r="O188" s="25"/>
      <c r="P188" s="25"/>
      <c r="Q188" s="25"/>
      <c r="R188" s="25"/>
      <c r="S188" s="25"/>
      <c r="T188" s="66">
        <v>7.63</v>
      </c>
      <c r="U188" s="25" t="s">
        <v>122</v>
      </c>
      <c r="V188" s="5"/>
    </row>
    <row r="189" spans="1:22" x14ac:dyDescent="0.35">
      <c r="A189" s="24"/>
      <c r="B189" s="25" t="s">
        <v>232</v>
      </c>
      <c r="C189" s="25"/>
      <c r="D189" s="25"/>
      <c r="E189" s="25"/>
      <c r="F189" s="25"/>
      <c r="G189" s="25"/>
      <c r="H189" s="25"/>
      <c r="I189" s="25"/>
      <c r="J189" s="25"/>
      <c r="K189" s="25"/>
      <c r="L189" s="25"/>
      <c r="M189" s="25"/>
      <c r="N189" s="25"/>
      <c r="O189" s="25"/>
      <c r="P189" s="25"/>
      <c r="Q189" s="25"/>
      <c r="R189" s="25"/>
      <c r="S189" s="25"/>
      <c r="T189" s="59">
        <f>(T99+T101+T102+T103+T104+T105+T106+T107+T108+T109)/-(T110+T111)</f>
        <v>4.3810010214504596</v>
      </c>
      <c r="U189" s="25" t="s">
        <v>122</v>
      </c>
      <c r="V189" s="5"/>
    </row>
    <row r="190" spans="1:22" x14ac:dyDescent="0.35">
      <c r="A190" s="24"/>
      <c r="B190" s="25" t="s">
        <v>233</v>
      </c>
      <c r="C190" s="25"/>
      <c r="D190" s="25"/>
      <c r="E190" s="25"/>
      <c r="F190" s="25"/>
      <c r="G190" s="25"/>
      <c r="H190" s="25"/>
      <c r="I190" s="25"/>
      <c r="J190" s="25"/>
      <c r="K190" s="25"/>
      <c r="L190" s="25"/>
      <c r="M190" s="25"/>
      <c r="N190" s="25"/>
      <c r="O190" s="25"/>
      <c r="P190" s="25"/>
      <c r="Q190" s="25"/>
      <c r="R190" s="25"/>
      <c r="S190" s="25"/>
      <c r="T190" s="66">
        <v>3.95</v>
      </c>
      <c r="U190" s="25" t="s">
        <v>122</v>
      </c>
      <c r="V190" s="5"/>
    </row>
    <row r="191" spans="1:22" x14ac:dyDescent="0.35">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x14ac:dyDescent="0.35">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4">
      <c r="A194" s="101"/>
      <c r="B194" s="102" t="str">
        <f>B134</f>
        <v>PM10 INVESTOR REPORT QUARTER ENDING NOVEMBER 2006</v>
      </c>
      <c r="C194" s="166"/>
      <c r="D194" s="166"/>
      <c r="E194" s="166"/>
      <c r="F194" s="166"/>
      <c r="G194" s="166"/>
      <c r="H194" s="166"/>
      <c r="I194" s="166"/>
      <c r="J194" s="166"/>
      <c r="K194" s="166"/>
      <c r="L194" s="166"/>
      <c r="M194" s="166"/>
      <c r="N194" s="166"/>
      <c r="O194" s="166"/>
      <c r="P194" s="166"/>
      <c r="Q194" s="166"/>
      <c r="R194" s="166"/>
      <c r="S194" s="166"/>
      <c r="T194" s="166"/>
      <c r="U194" s="167"/>
      <c r="V194" s="5"/>
    </row>
    <row r="195" spans="1:22" x14ac:dyDescent="0.35">
      <c r="A195" s="67"/>
      <c r="B195" s="60" t="s">
        <v>72</v>
      </c>
      <c r="C195" s="68"/>
      <c r="D195" s="68"/>
      <c r="E195" s="68"/>
      <c r="F195" s="68"/>
      <c r="G195" s="69"/>
      <c r="H195" s="69"/>
      <c r="I195" s="69"/>
      <c r="J195" s="69"/>
      <c r="K195" s="69"/>
      <c r="L195" s="69"/>
      <c r="M195" s="69"/>
      <c r="N195" s="69"/>
      <c r="O195" s="69"/>
      <c r="P195" s="69"/>
      <c r="Q195" s="69"/>
      <c r="R195" s="70" t="s">
        <v>271</v>
      </c>
      <c r="S195" s="4"/>
      <c r="T195" s="4"/>
      <c r="U195" s="4"/>
      <c r="V195" s="5"/>
    </row>
    <row r="196" spans="1:22" x14ac:dyDescent="0.35">
      <c r="A196" s="71"/>
      <c r="B196" s="72"/>
      <c r="C196" s="73"/>
      <c r="D196" s="73"/>
      <c r="E196" s="73"/>
      <c r="F196" s="73"/>
      <c r="G196" s="74"/>
      <c r="H196" s="74"/>
      <c r="I196" s="74"/>
      <c r="J196" s="74"/>
      <c r="K196" s="74"/>
      <c r="L196" s="74"/>
      <c r="M196" s="74"/>
      <c r="N196" s="74"/>
      <c r="O196" s="74"/>
      <c r="P196" s="74"/>
      <c r="Q196" s="74"/>
      <c r="R196" s="74"/>
      <c r="S196" s="8"/>
      <c r="T196" s="8"/>
      <c r="U196" s="8"/>
      <c r="V196" s="5"/>
    </row>
    <row r="197" spans="1:22" x14ac:dyDescent="0.35">
      <c r="A197" s="75"/>
      <c r="B197" s="76" t="s">
        <v>73</v>
      </c>
      <c r="C197" s="77"/>
      <c r="D197" s="77"/>
      <c r="E197" s="77"/>
      <c r="F197" s="77"/>
      <c r="G197" s="64"/>
      <c r="H197" s="64"/>
      <c r="I197" s="64"/>
      <c r="J197" s="64"/>
      <c r="K197" s="64"/>
      <c r="L197" s="64"/>
      <c r="M197" s="64"/>
      <c r="N197" s="64"/>
      <c r="O197" s="64"/>
      <c r="P197" s="64"/>
      <c r="Q197" s="64"/>
      <c r="R197" s="78">
        <v>5.3960000000000001E-2</v>
      </c>
      <c r="S197" s="25"/>
      <c r="T197" s="25"/>
      <c r="U197" s="25"/>
      <c r="V197" s="5"/>
    </row>
    <row r="198" spans="1:22" x14ac:dyDescent="0.35">
      <c r="A198" s="75"/>
      <c r="B198" s="76" t="s">
        <v>159</v>
      </c>
      <c r="C198" s="77"/>
      <c r="D198" s="77"/>
      <c r="E198" s="77"/>
      <c r="F198" s="77"/>
      <c r="G198" s="64"/>
      <c r="H198" s="64"/>
      <c r="I198" s="64"/>
      <c r="J198" s="64"/>
      <c r="K198" s="64"/>
      <c r="L198" s="64"/>
      <c r="M198" s="64"/>
      <c r="N198" s="64"/>
      <c r="O198" s="64"/>
      <c r="P198" s="64"/>
      <c r="Q198" s="64"/>
      <c r="R198" s="39">
        <v>4.7399999999999998E-2</v>
      </c>
      <c r="S198" s="25"/>
      <c r="T198" s="25"/>
      <c r="U198" s="25"/>
      <c r="V198" s="5"/>
    </row>
    <row r="199" spans="1:22" x14ac:dyDescent="0.35">
      <c r="A199" s="75"/>
      <c r="B199" s="76" t="s">
        <v>74</v>
      </c>
      <c r="C199" s="77"/>
      <c r="D199" s="77"/>
      <c r="E199" s="77"/>
      <c r="F199" s="77"/>
      <c r="G199" s="64"/>
      <c r="H199" s="64"/>
      <c r="I199" s="64"/>
      <c r="J199" s="64"/>
      <c r="K199" s="64"/>
      <c r="L199" s="64"/>
      <c r="M199" s="64"/>
      <c r="N199" s="64"/>
      <c r="O199" s="64"/>
      <c r="P199" s="64"/>
      <c r="Q199" s="64"/>
      <c r="R199" s="78">
        <f>R197-R198</f>
        <v>6.5600000000000033E-3</v>
      </c>
      <c r="S199" s="25"/>
      <c r="T199" s="25"/>
      <c r="U199" s="25"/>
      <c r="V199" s="5"/>
    </row>
    <row r="200" spans="1:22" x14ac:dyDescent="0.35">
      <c r="A200" s="75"/>
      <c r="B200" s="76" t="s">
        <v>75</v>
      </c>
      <c r="C200" s="77"/>
      <c r="D200" s="77"/>
      <c r="E200" s="77"/>
      <c r="F200" s="77"/>
      <c r="G200" s="64"/>
      <c r="H200" s="64"/>
      <c r="I200" s="64"/>
      <c r="J200" s="64"/>
      <c r="K200" s="64"/>
      <c r="L200" s="64"/>
      <c r="M200" s="64"/>
      <c r="N200" s="64"/>
      <c r="O200" s="64"/>
      <c r="P200" s="64"/>
      <c r="Q200" s="64"/>
      <c r="R200" s="78">
        <v>5.4850000000000003E-2</v>
      </c>
      <c r="S200" s="25"/>
      <c r="T200" s="25"/>
      <c r="U200" s="25"/>
      <c r="V200" s="5"/>
    </row>
    <row r="201" spans="1:22" x14ac:dyDescent="0.35">
      <c r="A201" s="75"/>
      <c r="B201" s="76" t="s">
        <v>262</v>
      </c>
      <c r="C201" s="77"/>
      <c r="D201" s="77"/>
      <c r="E201" s="77"/>
      <c r="F201" s="77"/>
      <c r="G201" s="64"/>
      <c r="H201" s="64"/>
      <c r="I201" s="64"/>
      <c r="J201" s="64"/>
      <c r="K201" s="64"/>
      <c r="L201" s="64"/>
      <c r="M201" s="64"/>
      <c r="N201" s="64"/>
      <c r="O201" s="64"/>
      <c r="P201" s="64"/>
      <c r="Q201" s="64"/>
      <c r="R201" s="78">
        <f>T43</f>
        <v>5.1377188787104087E-2</v>
      </c>
      <c r="S201" s="25"/>
      <c r="T201" s="25"/>
      <c r="U201" s="25"/>
      <c r="V201" s="5"/>
    </row>
    <row r="202" spans="1:22" x14ac:dyDescent="0.35">
      <c r="A202" s="75"/>
      <c r="B202" s="76" t="s">
        <v>76</v>
      </c>
      <c r="C202" s="77"/>
      <c r="D202" s="77"/>
      <c r="E202" s="77"/>
      <c r="F202" s="77"/>
      <c r="G202" s="64"/>
      <c r="H202" s="64"/>
      <c r="I202" s="64"/>
      <c r="J202" s="64"/>
      <c r="K202" s="64"/>
      <c r="L202" s="64"/>
      <c r="M202" s="64"/>
      <c r="N202" s="64"/>
      <c r="O202" s="64"/>
      <c r="P202" s="64"/>
      <c r="Q202" s="64"/>
      <c r="R202" s="78">
        <f>R200-R201</f>
        <v>3.4728112128959154E-3</v>
      </c>
      <c r="S202" s="25"/>
      <c r="T202" s="25"/>
      <c r="U202" s="25"/>
      <c r="V202" s="5"/>
    </row>
    <row r="203" spans="1:22" x14ac:dyDescent="0.35">
      <c r="A203" s="75"/>
      <c r="B203" s="76" t="s">
        <v>269</v>
      </c>
      <c r="C203" s="77"/>
      <c r="D203" s="77"/>
      <c r="E203" s="77"/>
      <c r="F203" s="77"/>
      <c r="G203" s="64"/>
      <c r="H203" s="64"/>
      <c r="I203" s="64"/>
      <c r="J203" s="64"/>
      <c r="K203" s="64"/>
      <c r="L203" s="64"/>
      <c r="M203" s="64"/>
      <c r="N203" s="64"/>
      <c r="O203" s="64"/>
      <c r="P203" s="64"/>
      <c r="Q203" s="64"/>
      <c r="R203" s="78">
        <f>+T99/L69</f>
        <v>1.5800357783243332E-2</v>
      </c>
      <c r="S203" s="25"/>
      <c r="T203" s="25"/>
      <c r="U203" s="25"/>
      <c r="V203" s="5"/>
    </row>
    <row r="204" spans="1:22" x14ac:dyDescent="0.35">
      <c r="A204" s="75"/>
      <c r="B204" s="76" t="s">
        <v>251</v>
      </c>
      <c r="C204" s="77"/>
      <c r="D204" s="77"/>
      <c r="E204" s="77"/>
      <c r="F204" s="77"/>
      <c r="G204" s="64"/>
      <c r="H204" s="64"/>
      <c r="I204" s="64"/>
      <c r="J204" s="64"/>
      <c r="K204" s="64"/>
      <c r="L204" s="64"/>
      <c r="M204" s="64"/>
      <c r="N204" s="64"/>
      <c r="O204" s="64"/>
      <c r="P204" s="64"/>
      <c r="Q204" s="64"/>
      <c r="R204" s="130">
        <v>51653</v>
      </c>
      <c r="S204" s="25"/>
      <c r="T204" s="25"/>
      <c r="U204" s="25"/>
      <c r="V204" s="5"/>
    </row>
    <row r="205" spans="1:22" x14ac:dyDescent="0.35">
      <c r="A205" s="75"/>
      <c r="B205" s="76" t="s">
        <v>252</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253</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77</v>
      </c>
      <c r="C207" s="77"/>
      <c r="D207" s="77"/>
      <c r="E207" s="77"/>
      <c r="F207" s="77"/>
      <c r="G207" s="64"/>
      <c r="H207" s="64"/>
      <c r="I207" s="64"/>
      <c r="J207" s="64"/>
      <c r="K207" s="64"/>
      <c r="L207" s="64"/>
      <c r="M207" s="64"/>
      <c r="N207" s="64"/>
      <c r="O207" s="64"/>
      <c r="P207" s="64"/>
      <c r="Q207" s="64"/>
      <c r="R207" s="134">
        <v>21.48</v>
      </c>
      <c r="S207" s="25" t="s">
        <v>117</v>
      </c>
      <c r="T207" s="25"/>
      <c r="U207" s="25"/>
      <c r="V207" s="5"/>
    </row>
    <row r="208" spans="1:22" x14ac:dyDescent="0.35">
      <c r="A208" s="75"/>
      <c r="B208" s="76" t="s">
        <v>78</v>
      </c>
      <c r="C208" s="77"/>
      <c r="D208" s="77"/>
      <c r="E208" s="77"/>
      <c r="F208" s="77"/>
      <c r="G208" s="64"/>
      <c r="H208" s="64"/>
      <c r="I208" s="64"/>
      <c r="J208" s="64"/>
      <c r="K208" s="64"/>
      <c r="L208" s="64"/>
      <c r="M208" s="64"/>
      <c r="N208" s="64"/>
      <c r="O208" s="64"/>
      <c r="P208" s="64"/>
      <c r="Q208" s="64"/>
      <c r="R208" s="134">
        <v>20.53</v>
      </c>
      <c r="S208" s="25" t="s">
        <v>117</v>
      </c>
      <c r="T208" s="25"/>
      <c r="U208" s="25"/>
      <c r="V208" s="5"/>
    </row>
    <row r="209" spans="1:22" x14ac:dyDescent="0.35">
      <c r="A209" s="75"/>
      <c r="B209" s="76" t="s">
        <v>79</v>
      </c>
      <c r="C209" s="77"/>
      <c r="D209" s="77"/>
      <c r="E209" s="77"/>
      <c r="F209" s="77"/>
      <c r="G209" s="64"/>
      <c r="H209" s="64"/>
      <c r="I209" s="64"/>
      <c r="J209" s="64"/>
      <c r="K209" s="64"/>
      <c r="L209" s="64"/>
      <c r="M209" s="64"/>
      <c r="N209" s="64"/>
      <c r="O209" s="64"/>
      <c r="P209" s="64"/>
      <c r="Q209" s="64"/>
      <c r="R209" s="78">
        <f>+N69/L69</f>
        <v>2.6261040153775988E-2</v>
      </c>
      <c r="S209" s="25"/>
      <c r="T209" s="25"/>
      <c r="U209" s="25"/>
      <c r="V209" s="5"/>
    </row>
    <row r="210" spans="1:22" x14ac:dyDescent="0.35">
      <c r="A210" s="75"/>
      <c r="B210" s="76" t="s">
        <v>80</v>
      </c>
      <c r="C210" s="77"/>
      <c r="D210" s="77"/>
      <c r="E210" s="77"/>
      <c r="F210" s="77"/>
      <c r="G210" s="64"/>
      <c r="H210" s="64"/>
      <c r="I210" s="64"/>
      <c r="J210" s="64"/>
      <c r="K210" s="64"/>
      <c r="L210" s="64"/>
      <c r="M210" s="64"/>
      <c r="N210" s="64"/>
      <c r="O210" s="64"/>
      <c r="P210" s="64"/>
      <c r="Q210" s="64"/>
      <c r="R210" s="78">
        <v>7.7200000000000005E-2</v>
      </c>
      <c r="S210" s="25"/>
      <c r="T210" s="25"/>
      <c r="U210" s="25"/>
      <c r="V210" s="5"/>
    </row>
    <row r="211" spans="1:22" x14ac:dyDescent="0.35">
      <c r="A211" s="75"/>
      <c r="B211" s="76"/>
      <c r="C211" s="76"/>
      <c r="D211" s="76"/>
      <c r="E211" s="76"/>
      <c r="F211" s="76"/>
      <c r="G211" s="25"/>
      <c r="H211" s="25"/>
      <c r="I211" s="25"/>
      <c r="J211" s="25"/>
      <c r="K211" s="25"/>
      <c r="L211" s="25"/>
      <c r="M211" s="25"/>
      <c r="N211" s="25"/>
      <c r="O211" s="25"/>
      <c r="P211" s="25"/>
      <c r="Q211" s="25"/>
      <c r="R211" s="61"/>
      <c r="S211" s="25"/>
      <c r="T211" s="79"/>
      <c r="U211" s="25"/>
      <c r="V211" s="5"/>
    </row>
    <row r="212" spans="1:22" x14ac:dyDescent="0.35">
      <c r="A212" s="80"/>
      <c r="B212" s="14" t="s">
        <v>81</v>
      </c>
      <c r="C212" s="81"/>
      <c r="D212" s="81"/>
      <c r="E212" s="81"/>
      <c r="F212" s="82"/>
      <c r="G212" s="81"/>
      <c r="H212" s="17"/>
      <c r="I212" s="17"/>
      <c r="J212" s="17"/>
      <c r="K212" s="17"/>
      <c r="L212" s="17"/>
      <c r="M212" s="17"/>
      <c r="N212" s="17"/>
      <c r="O212" s="17"/>
      <c r="P212" s="17"/>
      <c r="Q212" s="17" t="s">
        <v>106</v>
      </c>
      <c r="R212" s="83" t="s">
        <v>113</v>
      </c>
      <c r="S212" s="8"/>
      <c r="T212" s="8"/>
      <c r="U212" s="8"/>
      <c r="V212" s="5"/>
    </row>
    <row r="213" spans="1:22" x14ac:dyDescent="0.35">
      <c r="A213" s="84"/>
      <c r="B213" s="76" t="s">
        <v>82</v>
      </c>
      <c r="C213" s="54"/>
      <c r="D213" s="54"/>
      <c r="E213" s="54"/>
      <c r="F213" s="25"/>
      <c r="G213" s="25"/>
      <c r="H213" s="30"/>
      <c r="I213" s="30"/>
      <c r="J213" s="30"/>
      <c r="K213" s="30"/>
      <c r="L213" s="30"/>
      <c r="M213" s="30"/>
      <c r="N213" s="30"/>
      <c r="O213" s="30"/>
      <c r="P213" s="30"/>
      <c r="Q213" s="30">
        <v>0</v>
      </c>
      <c r="R213" s="85">
        <v>0</v>
      </c>
      <c r="S213" s="25"/>
      <c r="T213" s="79"/>
      <c r="U213" s="86"/>
      <c r="V213" s="5"/>
    </row>
    <row r="214" spans="1:22" x14ac:dyDescent="0.35">
      <c r="A214" s="84"/>
      <c r="B214" s="76" t="s">
        <v>152</v>
      </c>
      <c r="C214" s="54"/>
      <c r="D214" s="54"/>
      <c r="E214" s="54"/>
      <c r="F214" s="25"/>
      <c r="G214" s="25"/>
      <c r="H214" s="30"/>
      <c r="I214" s="30"/>
      <c r="J214" s="30"/>
      <c r="K214" s="30"/>
      <c r="L214" s="30"/>
      <c r="M214" s="30"/>
      <c r="N214" s="30"/>
      <c r="O214" s="30"/>
      <c r="P214" s="30"/>
      <c r="Q214" s="153">
        <f>+P255</f>
        <v>28</v>
      </c>
      <c r="R214" s="85">
        <f>+R255</f>
        <v>4540</v>
      </c>
      <c r="S214" s="25"/>
      <c r="T214" s="79"/>
      <c r="U214" s="86"/>
      <c r="V214" s="5"/>
    </row>
    <row r="215" spans="1:22" x14ac:dyDescent="0.35">
      <c r="A215" s="84"/>
      <c r="B215" s="76" t="s">
        <v>83</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122" t="s">
        <v>84</v>
      </c>
      <c r="C216" s="54"/>
      <c r="D216" s="54"/>
      <c r="E216" s="54"/>
      <c r="F216" s="25"/>
      <c r="G216" s="25"/>
      <c r="H216" s="25"/>
      <c r="I216" s="25"/>
      <c r="J216" s="25"/>
      <c r="K216" s="25"/>
      <c r="L216" s="25"/>
      <c r="M216" s="25"/>
      <c r="N216" s="25"/>
      <c r="O216" s="25"/>
      <c r="P216" s="25"/>
      <c r="Q216" s="25"/>
      <c r="R216" s="85">
        <v>0</v>
      </c>
      <c r="S216" s="25"/>
      <c r="T216" s="79"/>
      <c r="U216" s="86"/>
      <c r="V216" s="5"/>
    </row>
    <row r="217" spans="1:22" x14ac:dyDescent="0.35">
      <c r="A217" s="84"/>
      <c r="B217" s="122" t="s">
        <v>85</v>
      </c>
      <c r="C217" s="54"/>
      <c r="D217" s="54"/>
      <c r="E217" s="54"/>
      <c r="F217" s="25"/>
      <c r="G217" s="25"/>
      <c r="H217" s="25"/>
      <c r="I217" s="25"/>
      <c r="J217" s="25"/>
      <c r="K217" s="25"/>
      <c r="L217" s="25"/>
      <c r="M217" s="25"/>
      <c r="N217" s="25"/>
      <c r="O217" s="25"/>
      <c r="P217" s="25"/>
      <c r="Q217" s="25"/>
      <c r="R217" s="62" t="s">
        <v>114</v>
      </c>
      <c r="S217" s="25"/>
      <c r="T217" s="79"/>
      <c r="U217" s="86"/>
      <c r="V217" s="5"/>
    </row>
    <row r="218" spans="1:22" x14ac:dyDescent="0.35">
      <c r="A218" s="87"/>
      <c r="B218" s="122" t="s">
        <v>86</v>
      </c>
      <c r="C218" s="76"/>
      <c r="D218" s="76"/>
      <c r="E218" s="76"/>
      <c r="F218" s="76"/>
      <c r="G218" s="25"/>
      <c r="H218" s="25"/>
      <c r="I218" s="25"/>
      <c r="J218" s="25"/>
      <c r="K218" s="25"/>
      <c r="L218" s="25"/>
      <c r="M218" s="25"/>
      <c r="N218" s="25"/>
      <c r="O218" s="25"/>
      <c r="P218" s="25"/>
      <c r="Q218" s="25"/>
      <c r="R218" s="85"/>
      <c r="S218" s="25"/>
      <c r="T218" s="79"/>
      <c r="U218" s="88"/>
      <c r="V218" s="5"/>
    </row>
    <row r="219" spans="1:22" x14ac:dyDescent="0.35">
      <c r="A219" s="87"/>
      <c r="B219" s="132" t="s">
        <v>87</v>
      </c>
      <c r="C219" s="76"/>
      <c r="D219" s="76"/>
      <c r="E219" s="76"/>
      <c r="F219" s="76"/>
      <c r="G219" s="25"/>
      <c r="H219" s="25"/>
      <c r="I219" s="25"/>
      <c r="J219" s="25"/>
      <c r="K219" s="25"/>
      <c r="L219" s="25"/>
      <c r="M219" s="25"/>
      <c r="N219" s="25"/>
      <c r="O219" s="25"/>
      <c r="P219" s="25"/>
      <c r="Q219" s="30">
        <v>0</v>
      </c>
      <c r="R219" s="85">
        <f>T164</f>
        <v>0</v>
      </c>
      <c r="S219" s="25"/>
      <c r="T219" s="79"/>
      <c r="U219" s="88"/>
      <c r="V219" s="5"/>
    </row>
    <row r="220" spans="1:22" x14ac:dyDescent="0.35">
      <c r="A220" s="84"/>
      <c r="B220" s="76" t="s">
        <v>88</v>
      </c>
      <c r="C220" s="54"/>
      <c r="D220" s="54"/>
      <c r="E220" s="54"/>
      <c r="F220" s="54"/>
      <c r="G220" s="25"/>
      <c r="H220" s="25"/>
      <c r="I220" s="25"/>
      <c r="J220" s="25"/>
      <c r="K220" s="25"/>
      <c r="L220" s="25"/>
      <c r="M220" s="25"/>
      <c r="N220" s="25"/>
      <c r="O220" s="25"/>
      <c r="P220" s="25"/>
      <c r="Q220" s="85">
        <f>'Aug 06'!Q220+Q219</f>
        <v>0</v>
      </c>
      <c r="R220" s="85">
        <f>'Aug 06'!R220+R219</f>
        <v>0</v>
      </c>
      <c r="S220" s="25"/>
      <c r="T220" s="79"/>
      <c r="U220" s="88"/>
      <c r="V220" s="5"/>
    </row>
    <row r="221" spans="1:22" x14ac:dyDescent="0.35">
      <c r="A221" s="84"/>
      <c r="B221" s="76" t="s">
        <v>89</v>
      </c>
      <c r="C221" s="54"/>
      <c r="D221" s="54"/>
      <c r="E221" s="54"/>
      <c r="F221" s="54"/>
      <c r="G221" s="25"/>
      <c r="H221" s="25"/>
      <c r="I221" s="25"/>
      <c r="J221" s="25"/>
      <c r="K221" s="25"/>
      <c r="L221" s="25"/>
      <c r="M221" s="25"/>
      <c r="N221" s="25"/>
      <c r="O221" s="25"/>
      <c r="P221" s="25"/>
      <c r="Q221" s="30"/>
      <c r="R221" s="85">
        <v>0</v>
      </c>
      <c r="S221" s="25"/>
      <c r="T221" s="79"/>
      <c r="U221" s="88"/>
      <c r="V221" s="5"/>
    </row>
    <row r="222" spans="1:22" x14ac:dyDescent="0.35">
      <c r="A222" s="87"/>
      <c r="B222" s="122" t="s">
        <v>295</v>
      </c>
      <c r="C222" s="76"/>
      <c r="D222" s="76"/>
      <c r="E222" s="76"/>
      <c r="F222" s="76"/>
      <c r="G222" s="25"/>
      <c r="H222" s="25"/>
      <c r="I222" s="25"/>
      <c r="J222" s="25"/>
      <c r="K222" s="25"/>
      <c r="L222" s="25"/>
      <c r="M222" s="25"/>
      <c r="N222" s="25"/>
      <c r="O222" s="25"/>
      <c r="P222" s="25"/>
      <c r="Q222" s="30"/>
      <c r="R222" s="85"/>
      <c r="S222" s="25"/>
      <c r="T222" s="79"/>
      <c r="U222" s="88"/>
      <c r="V222" s="5"/>
    </row>
    <row r="223" spans="1:22" x14ac:dyDescent="0.35">
      <c r="A223" s="87"/>
      <c r="B223" s="76" t="s">
        <v>292</v>
      </c>
      <c r="C223" s="76"/>
      <c r="D223" s="76"/>
      <c r="E223" s="76"/>
      <c r="F223" s="76"/>
      <c r="G223" s="25"/>
      <c r="H223" s="25"/>
      <c r="I223" s="25"/>
      <c r="J223" s="25"/>
      <c r="K223" s="25"/>
      <c r="L223" s="25"/>
      <c r="M223" s="25"/>
      <c r="N223" s="25"/>
      <c r="O223" s="25"/>
      <c r="P223" s="25"/>
      <c r="Q223" s="30">
        <v>0</v>
      </c>
      <c r="R223" s="85">
        <v>0</v>
      </c>
      <c r="S223" s="25"/>
      <c r="T223" s="79"/>
      <c r="U223" s="88"/>
      <c r="V223" s="5"/>
    </row>
    <row r="224" spans="1:22" x14ac:dyDescent="0.35">
      <c r="A224" s="84"/>
      <c r="B224" s="76" t="s">
        <v>90</v>
      </c>
      <c r="C224" s="89"/>
      <c r="D224" s="89"/>
      <c r="E224" s="89"/>
      <c r="F224" s="90"/>
      <c r="G224" s="25"/>
      <c r="H224" s="25"/>
      <c r="I224" s="25"/>
      <c r="J224" s="25"/>
      <c r="K224" s="25"/>
      <c r="L224" s="25"/>
      <c r="M224" s="25"/>
      <c r="N224" s="25"/>
      <c r="O224" s="25"/>
      <c r="P224" s="25"/>
      <c r="Q224" s="25"/>
      <c r="R224" s="62">
        <v>0</v>
      </c>
      <c r="S224" s="25"/>
      <c r="T224" s="79"/>
      <c r="U224" s="88"/>
      <c r="V224" s="5"/>
    </row>
    <row r="225" spans="1:23" x14ac:dyDescent="0.35">
      <c r="A225" s="84"/>
      <c r="B225" s="76" t="s">
        <v>91</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122" t="s">
        <v>260</v>
      </c>
      <c r="C226" s="89"/>
      <c r="D226" s="89"/>
      <c r="E226" s="89"/>
      <c r="F226" s="90"/>
      <c r="G226" s="25"/>
      <c r="H226" s="25"/>
      <c r="I226" s="25"/>
      <c r="J226" s="25"/>
      <c r="K226" s="25"/>
      <c r="L226" s="25"/>
      <c r="M226" s="25"/>
      <c r="N226" s="25"/>
      <c r="O226" s="25"/>
      <c r="P226" s="25"/>
      <c r="Q226" s="25"/>
      <c r="R226" s="91"/>
      <c r="S226" s="25"/>
      <c r="T226" s="79"/>
      <c r="U226" s="88"/>
      <c r="V226" s="5"/>
    </row>
    <row r="227" spans="1:23" x14ac:dyDescent="0.35">
      <c r="A227" s="84"/>
      <c r="B227" s="76" t="s">
        <v>292</v>
      </c>
      <c r="C227" s="89"/>
      <c r="D227" s="89"/>
      <c r="E227" s="89"/>
      <c r="F227" s="90"/>
      <c r="G227" s="25"/>
      <c r="H227" s="25"/>
      <c r="I227" s="25"/>
      <c r="J227" s="25"/>
      <c r="K227" s="25"/>
      <c r="L227" s="25"/>
      <c r="M227" s="25"/>
      <c r="N227" s="25"/>
      <c r="O227" s="25"/>
      <c r="P227" s="25"/>
      <c r="Q227" s="30">
        <v>4</v>
      </c>
      <c r="R227" s="85">
        <v>512</v>
      </c>
      <c r="S227" s="25"/>
      <c r="T227" s="79"/>
      <c r="U227" s="88"/>
      <c r="V227" s="5"/>
    </row>
    <row r="228" spans="1:23" x14ac:dyDescent="0.35">
      <c r="A228" s="84"/>
      <c r="B228" s="76" t="s">
        <v>261</v>
      </c>
      <c r="C228" s="89"/>
      <c r="D228" s="89"/>
      <c r="E228" s="89"/>
      <c r="F228" s="90"/>
      <c r="G228" s="25"/>
      <c r="H228" s="25"/>
      <c r="I228" s="25"/>
      <c r="J228" s="25"/>
      <c r="K228" s="25"/>
      <c r="L228" s="25"/>
      <c r="M228" s="25"/>
      <c r="N228" s="25"/>
      <c r="O228" s="25"/>
      <c r="P228" s="25"/>
      <c r="Q228" s="25"/>
      <c r="R228" s="62">
        <v>7.36</v>
      </c>
      <c r="S228" s="25"/>
      <c r="T228" s="79"/>
      <c r="U228" s="88"/>
      <c r="V228" s="5"/>
    </row>
    <row r="229" spans="1:23" x14ac:dyDescent="0.35">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7.5" x14ac:dyDescent="0.35">
      <c r="A231" s="84"/>
      <c r="B231" s="150" t="s">
        <v>178</v>
      </c>
      <c r="C231" s="89"/>
      <c r="D231" s="89"/>
      <c r="E231" s="89"/>
      <c r="F231" s="90"/>
      <c r="G231" s="25"/>
      <c r="H231" s="25"/>
      <c r="I231" s="25"/>
      <c r="J231" s="25"/>
      <c r="K231" s="25"/>
      <c r="L231" s="25"/>
      <c r="M231" s="25"/>
      <c r="N231" s="151" t="s">
        <v>177</v>
      </c>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x14ac:dyDescent="0.35">
      <c r="A233" s="6"/>
      <c r="B233" s="14" t="s">
        <v>171</v>
      </c>
      <c r="C233" s="81"/>
      <c r="D233" s="81"/>
      <c r="E233" s="81"/>
      <c r="F233" s="82"/>
      <c r="G233" s="81"/>
      <c r="H233" s="17"/>
      <c r="I233" s="17"/>
      <c r="J233" s="17"/>
      <c r="K233" s="17"/>
      <c r="L233" s="17"/>
      <c r="M233" s="17"/>
      <c r="N233" s="17"/>
      <c r="O233" s="17"/>
      <c r="P233" s="83" t="s">
        <v>106</v>
      </c>
      <c r="Q233" s="17" t="s">
        <v>107</v>
      </c>
      <c r="R233" s="83" t="s">
        <v>115</v>
      </c>
      <c r="S233" s="17" t="s">
        <v>107</v>
      </c>
      <c r="T233" s="8"/>
      <c r="U233" s="92"/>
      <c r="V233" s="5"/>
    </row>
    <row r="234" spans="1:23" x14ac:dyDescent="0.35">
      <c r="A234" s="24"/>
      <c r="B234" s="54" t="s">
        <v>92</v>
      </c>
      <c r="C234" s="93"/>
      <c r="D234" s="93"/>
      <c r="E234" s="93"/>
      <c r="F234" s="25"/>
      <c r="G234" s="93"/>
      <c r="H234" s="93"/>
      <c r="I234" s="93"/>
      <c r="J234" s="93"/>
      <c r="K234" s="93"/>
      <c r="L234" s="93"/>
      <c r="M234" s="93"/>
      <c r="N234" s="93"/>
      <c r="O234" s="93"/>
      <c r="P234" s="54">
        <v>7043</v>
      </c>
      <c r="Q234" s="94">
        <f t="shared" ref="Q234:Q241" si="1">P234/$P$243</f>
        <v>0.99323085601466643</v>
      </c>
      <c r="R234" s="53">
        <v>929369</v>
      </c>
      <c r="S234" s="133">
        <f t="shared" ref="S234:S241" si="2">R234/$R$243</f>
        <v>0.99381279039303649</v>
      </c>
      <c r="T234" s="79"/>
      <c r="U234" s="88"/>
      <c r="V234" s="5"/>
    </row>
    <row r="235" spans="1:23" x14ac:dyDescent="0.35">
      <c r="A235" s="24"/>
      <c r="B235" s="54" t="s">
        <v>93</v>
      </c>
      <c r="C235" s="93"/>
      <c r="D235" s="93"/>
      <c r="E235" s="93"/>
      <c r="F235" s="25"/>
      <c r="G235" s="94"/>
      <c r="H235" s="93"/>
      <c r="I235" s="93"/>
      <c r="J235" s="93"/>
      <c r="K235" s="93"/>
      <c r="L235" s="93"/>
      <c r="M235" s="93"/>
      <c r="N235" s="93"/>
      <c r="O235" s="93"/>
      <c r="P235" s="54">
        <v>34</v>
      </c>
      <c r="Q235" s="94">
        <f t="shared" si="1"/>
        <v>4.7948103229445774E-3</v>
      </c>
      <c r="R235" s="53">
        <v>3586</v>
      </c>
      <c r="S235" s="133">
        <f t="shared" si="2"/>
        <v>3.8346584256085891E-3</v>
      </c>
      <c r="T235" s="79"/>
      <c r="U235" s="88"/>
      <c r="V235" s="5"/>
      <c r="W235" s="109"/>
    </row>
    <row r="236" spans="1:23" x14ac:dyDescent="0.35">
      <c r="A236" s="24"/>
      <c r="B236" s="54" t="s">
        <v>94</v>
      </c>
      <c r="C236" s="93"/>
      <c r="D236" s="93"/>
      <c r="E236" s="93"/>
      <c r="F236" s="25"/>
      <c r="G236" s="94"/>
      <c r="H236" s="93"/>
      <c r="I236" s="93"/>
      <c r="J236" s="93"/>
      <c r="K236" s="93"/>
      <c r="L236" s="93"/>
      <c r="M236" s="93"/>
      <c r="N236" s="93"/>
      <c r="O236" s="93"/>
      <c r="P236" s="54">
        <v>13</v>
      </c>
      <c r="Q236" s="94">
        <f t="shared" si="1"/>
        <v>1.833309829361162E-3</v>
      </c>
      <c r="R236" s="53">
        <v>2138</v>
      </c>
      <c r="S236" s="133">
        <f t="shared" si="2"/>
        <v>2.2862520116985956E-3</v>
      </c>
      <c r="T236" s="79"/>
      <c r="U236" s="88"/>
      <c r="V236" s="5"/>
    </row>
    <row r="237" spans="1:23" x14ac:dyDescent="0.35">
      <c r="A237" s="24"/>
      <c r="B237" s="54" t="s">
        <v>164</v>
      </c>
      <c r="C237" s="93"/>
      <c r="D237" s="93"/>
      <c r="E237" s="93"/>
      <c r="F237" s="25"/>
      <c r="G237" s="94"/>
      <c r="H237" s="93"/>
      <c r="I237" s="93"/>
      <c r="J237" s="93"/>
      <c r="K237" s="93"/>
      <c r="L237" s="93"/>
      <c r="M237" s="93"/>
      <c r="N237" s="93"/>
      <c r="O237" s="93"/>
      <c r="P237" s="54">
        <v>1</v>
      </c>
      <c r="Q237" s="94">
        <f t="shared" si="1"/>
        <v>1.4102383302778171E-4</v>
      </c>
      <c r="R237" s="53">
        <v>62</v>
      </c>
      <c r="S237" s="133">
        <f t="shared" si="2"/>
        <v>6.6299169656367131E-5</v>
      </c>
      <c r="T237" s="79"/>
      <c r="U237" s="88"/>
      <c r="V237" s="5"/>
      <c r="W237" s="109"/>
    </row>
    <row r="238" spans="1:23" x14ac:dyDescent="0.35">
      <c r="A238" s="24"/>
      <c r="B238" s="54" t="s">
        <v>165</v>
      </c>
      <c r="C238" s="93"/>
      <c r="D238" s="93"/>
      <c r="E238" s="93"/>
      <c r="F238" s="25"/>
      <c r="G238" s="94"/>
      <c r="H238" s="93"/>
      <c r="I238" s="93"/>
      <c r="J238" s="93"/>
      <c r="K238" s="93"/>
      <c r="L238" s="93"/>
      <c r="M238" s="93"/>
      <c r="N238" s="93"/>
      <c r="O238" s="93"/>
      <c r="P238" s="54">
        <v>0</v>
      </c>
      <c r="Q238" s="94">
        <f t="shared" si="1"/>
        <v>0</v>
      </c>
      <c r="R238" s="53">
        <v>0</v>
      </c>
      <c r="S238" s="133">
        <f t="shared" si="2"/>
        <v>0</v>
      </c>
      <c r="T238" s="79"/>
      <c r="U238" s="88"/>
      <c r="V238" s="5"/>
    </row>
    <row r="239" spans="1:23" x14ac:dyDescent="0.35">
      <c r="A239" s="24"/>
      <c r="B239" s="54" t="s">
        <v>166</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c r="W239" s="109"/>
    </row>
    <row r="240" spans="1:23" x14ac:dyDescent="0.35">
      <c r="A240" s="24"/>
      <c r="B240" s="54" t="s">
        <v>167</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row>
    <row r="241" spans="1:23" x14ac:dyDescent="0.35">
      <c r="A241" s="24"/>
      <c r="B241" s="54" t="s">
        <v>168</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c r="W241" s="109"/>
    </row>
    <row r="242" spans="1:23" x14ac:dyDescent="0.35">
      <c r="A242" s="24"/>
      <c r="B242" s="54"/>
      <c r="C242" s="93"/>
      <c r="D242" s="93"/>
      <c r="E242" s="93"/>
      <c r="F242" s="25"/>
      <c r="G242" s="94"/>
      <c r="H242" s="93"/>
      <c r="I242" s="93"/>
      <c r="J242" s="93"/>
      <c r="K242" s="93"/>
      <c r="L242" s="93"/>
      <c r="M242" s="93"/>
      <c r="N242" s="93"/>
      <c r="O242" s="93"/>
      <c r="P242" s="54"/>
      <c r="Q242" s="94"/>
      <c r="R242" s="53"/>
      <c r="S242" s="133"/>
      <c r="T242" s="79"/>
      <c r="U242" s="88"/>
      <c r="V242" s="5"/>
    </row>
    <row r="243" spans="1:23" x14ac:dyDescent="0.35">
      <c r="A243" s="24"/>
      <c r="B243" s="25"/>
      <c r="C243" s="25"/>
      <c r="D243" s="25"/>
      <c r="E243" s="25"/>
      <c r="F243" s="25"/>
      <c r="G243" s="25"/>
      <c r="H243" s="95"/>
      <c r="I243" s="95"/>
      <c r="J243" s="95"/>
      <c r="K243" s="95"/>
      <c r="L243" s="95"/>
      <c r="M243" s="95"/>
      <c r="N243" s="95"/>
      <c r="O243" s="95"/>
      <c r="P243" s="34">
        <f>SUM(P234:P242)</f>
        <v>7091</v>
      </c>
      <c r="Q243" s="133">
        <f>SUM(Q234:Q242)</f>
        <v>1</v>
      </c>
      <c r="R243" s="53">
        <f>SUM(R234:R242)</f>
        <v>935155</v>
      </c>
      <c r="S243" s="133">
        <f>SUM(S234:S242)</f>
        <v>1</v>
      </c>
      <c r="T243" s="25"/>
      <c r="U243" s="25"/>
      <c r="V243" s="5"/>
    </row>
    <row r="244" spans="1:23" x14ac:dyDescent="0.35">
      <c r="A244" s="24"/>
      <c r="B244" s="25"/>
      <c r="C244" s="25"/>
      <c r="D244" s="25"/>
      <c r="E244" s="25"/>
      <c r="F244" s="25"/>
      <c r="G244" s="25"/>
      <c r="H244" s="95"/>
      <c r="I244" s="95"/>
      <c r="J244" s="95"/>
      <c r="K244" s="95"/>
      <c r="L244" s="95"/>
      <c r="M244" s="95"/>
      <c r="N244" s="95"/>
      <c r="O244" s="95"/>
      <c r="P244" s="34"/>
      <c r="Q244" s="133"/>
      <c r="R244" s="53"/>
      <c r="S244" s="133"/>
      <c r="T244" s="25"/>
      <c r="U244" s="25"/>
      <c r="V244" s="5"/>
    </row>
    <row r="245" spans="1:23" x14ac:dyDescent="0.35">
      <c r="A245" s="142"/>
      <c r="B245" s="14" t="s">
        <v>172</v>
      </c>
      <c r="C245" s="81"/>
      <c r="D245" s="81"/>
      <c r="E245" s="81"/>
      <c r="F245" s="82"/>
      <c r="G245" s="81"/>
      <c r="H245" s="17"/>
      <c r="I245" s="17"/>
      <c r="J245" s="17"/>
      <c r="K245" s="17"/>
      <c r="L245" s="17"/>
      <c r="M245" s="17"/>
      <c r="N245" s="17"/>
      <c r="O245" s="17"/>
      <c r="P245" s="83" t="s">
        <v>106</v>
      </c>
      <c r="Q245" s="17" t="s">
        <v>107</v>
      </c>
      <c r="R245" s="83" t="s">
        <v>115</v>
      </c>
      <c r="S245" s="17" t="s">
        <v>107</v>
      </c>
      <c r="T245" s="140"/>
      <c r="U245" s="141"/>
      <c r="V245" s="5"/>
    </row>
    <row r="246" spans="1:23" x14ac:dyDescent="0.35">
      <c r="A246" s="24"/>
      <c r="B246" s="54" t="s">
        <v>92</v>
      </c>
      <c r="C246" s="93"/>
      <c r="D246" s="93"/>
      <c r="E246" s="93"/>
      <c r="F246" s="25"/>
      <c r="G246" s="93"/>
      <c r="H246" s="93"/>
      <c r="I246" s="93"/>
      <c r="J246" s="93"/>
      <c r="K246" s="93"/>
      <c r="L246" s="93"/>
      <c r="M246" s="93"/>
      <c r="N246" s="93"/>
      <c r="O246" s="93"/>
      <c r="P246" s="54">
        <v>7</v>
      </c>
      <c r="Q246" s="94">
        <f t="shared" ref="Q246:Q253" si="3">P246/$P$255</f>
        <v>0.25</v>
      </c>
      <c r="R246" s="53">
        <v>951</v>
      </c>
      <c r="S246" s="133">
        <f t="shared" ref="S246:S253" si="4">R246/$R$255</f>
        <v>0.20947136563876653</v>
      </c>
      <c r="T246" s="25"/>
      <c r="U246" s="25"/>
      <c r="V246" s="5"/>
    </row>
    <row r="247" spans="1:23" x14ac:dyDescent="0.35">
      <c r="A247" s="24"/>
      <c r="B247" s="54" t="s">
        <v>93</v>
      </c>
      <c r="C247" s="93"/>
      <c r="D247" s="93"/>
      <c r="E247" s="93"/>
      <c r="F247" s="25"/>
      <c r="G247" s="94"/>
      <c r="H247" s="93"/>
      <c r="I247" s="93"/>
      <c r="J247" s="93"/>
      <c r="K247" s="93"/>
      <c r="L247" s="93"/>
      <c r="M247" s="93"/>
      <c r="N247" s="93"/>
      <c r="O247" s="93"/>
      <c r="P247" s="54">
        <v>3</v>
      </c>
      <c r="Q247" s="94">
        <f t="shared" si="3"/>
        <v>0.10714285714285714</v>
      </c>
      <c r="R247" s="53">
        <v>385</v>
      </c>
      <c r="S247" s="133">
        <f t="shared" si="4"/>
        <v>8.4801762114537452E-2</v>
      </c>
      <c r="T247" s="25"/>
      <c r="U247" s="25"/>
      <c r="V247" s="5"/>
    </row>
    <row r="248" spans="1:23" x14ac:dyDescent="0.35">
      <c r="A248" s="24"/>
      <c r="B248" s="54" t="s">
        <v>94</v>
      </c>
      <c r="C248" s="93"/>
      <c r="D248" s="93"/>
      <c r="E248" s="93"/>
      <c r="F248" s="25"/>
      <c r="G248" s="94"/>
      <c r="H248" s="93"/>
      <c r="I248" s="93"/>
      <c r="J248" s="93"/>
      <c r="K248" s="93"/>
      <c r="L248" s="93"/>
      <c r="M248" s="93"/>
      <c r="N248" s="93"/>
      <c r="O248" s="93"/>
      <c r="P248" s="54">
        <v>1</v>
      </c>
      <c r="Q248" s="94">
        <f t="shared" si="3"/>
        <v>3.5714285714285712E-2</v>
      </c>
      <c r="R248" s="53">
        <v>439</v>
      </c>
      <c r="S248" s="133">
        <f t="shared" si="4"/>
        <v>9.6696035242290743E-2</v>
      </c>
      <c r="T248" s="25"/>
      <c r="U248" s="25"/>
      <c r="V248" s="5"/>
    </row>
    <row r="249" spans="1:23" x14ac:dyDescent="0.35">
      <c r="A249" s="24"/>
      <c r="B249" s="54" t="s">
        <v>164</v>
      </c>
      <c r="C249" s="93"/>
      <c r="D249" s="93"/>
      <c r="E249" s="93"/>
      <c r="F249" s="25"/>
      <c r="G249" s="94"/>
      <c r="H249" s="93"/>
      <c r="I249" s="93"/>
      <c r="J249" s="93"/>
      <c r="K249" s="93"/>
      <c r="L249" s="93"/>
      <c r="M249" s="93"/>
      <c r="N249" s="93"/>
      <c r="O249" s="93"/>
      <c r="P249" s="54">
        <v>0</v>
      </c>
      <c r="Q249" s="94">
        <f t="shared" si="3"/>
        <v>0</v>
      </c>
      <c r="R249" s="53">
        <v>0</v>
      </c>
      <c r="S249" s="133">
        <f t="shared" si="4"/>
        <v>0</v>
      </c>
      <c r="T249" s="25"/>
      <c r="U249" s="25"/>
      <c r="V249" s="5"/>
    </row>
    <row r="250" spans="1:23" x14ac:dyDescent="0.35">
      <c r="A250" s="24"/>
      <c r="B250" s="54" t="s">
        <v>165</v>
      </c>
      <c r="C250" s="93"/>
      <c r="D250" s="93"/>
      <c r="E250" s="93"/>
      <c r="F250" s="25"/>
      <c r="G250" s="94"/>
      <c r="H250" s="93"/>
      <c r="I250" s="93"/>
      <c r="J250" s="93"/>
      <c r="K250" s="93"/>
      <c r="L250" s="93"/>
      <c r="M250" s="93"/>
      <c r="N250" s="93"/>
      <c r="O250" s="93"/>
      <c r="P250" s="54">
        <v>0</v>
      </c>
      <c r="Q250" s="94">
        <f t="shared" si="3"/>
        <v>0</v>
      </c>
      <c r="R250" s="53">
        <v>0</v>
      </c>
      <c r="S250" s="133">
        <f t="shared" si="4"/>
        <v>0</v>
      </c>
      <c r="T250" s="25"/>
      <c r="U250" s="25"/>
      <c r="V250" s="5"/>
    </row>
    <row r="251" spans="1:23" x14ac:dyDescent="0.35">
      <c r="A251" s="24"/>
      <c r="B251" s="54" t="s">
        <v>166</v>
      </c>
      <c r="C251" s="93"/>
      <c r="D251" s="93"/>
      <c r="E251" s="93"/>
      <c r="F251" s="25"/>
      <c r="G251" s="94"/>
      <c r="H251" s="93"/>
      <c r="I251" s="93"/>
      <c r="J251" s="93"/>
      <c r="K251" s="93"/>
      <c r="L251" s="93"/>
      <c r="M251" s="93"/>
      <c r="N251" s="93"/>
      <c r="O251" s="93"/>
      <c r="P251" s="54">
        <v>1</v>
      </c>
      <c r="Q251" s="94">
        <f t="shared" si="3"/>
        <v>3.5714285714285712E-2</v>
      </c>
      <c r="R251" s="53">
        <v>91</v>
      </c>
      <c r="S251" s="133">
        <f t="shared" si="4"/>
        <v>2.0044052863436124E-2</v>
      </c>
      <c r="T251" s="25"/>
      <c r="U251" s="25"/>
      <c r="V251" s="5"/>
    </row>
    <row r="252" spans="1:23" x14ac:dyDescent="0.35">
      <c r="A252" s="24"/>
      <c r="B252" s="54" t="s">
        <v>167</v>
      </c>
      <c r="C252" s="93"/>
      <c r="D252" s="93"/>
      <c r="E252" s="93"/>
      <c r="F252" s="25"/>
      <c r="G252" s="94"/>
      <c r="H252" s="93"/>
      <c r="I252" s="93"/>
      <c r="J252" s="93"/>
      <c r="K252" s="93"/>
      <c r="L252" s="93"/>
      <c r="M252" s="93"/>
      <c r="N252" s="93"/>
      <c r="O252" s="93"/>
      <c r="P252" s="54">
        <v>13</v>
      </c>
      <c r="Q252" s="94">
        <f t="shared" si="3"/>
        <v>0.4642857142857143</v>
      </c>
      <c r="R252" s="53">
        <v>2296</v>
      </c>
      <c r="S252" s="133">
        <f t="shared" si="4"/>
        <v>0.50572687224669599</v>
      </c>
      <c r="T252" s="25"/>
      <c r="U252" s="25"/>
      <c r="V252" s="5"/>
    </row>
    <row r="253" spans="1:23" x14ac:dyDescent="0.35">
      <c r="A253" s="24"/>
      <c r="B253" s="54" t="s">
        <v>168</v>
      </c>
      <c r="C253" s="93"/>
      <c r="D253" s="93"/>
      <c r="E253" s="93"/>
      <c r="F253" s="25"/>
      <c r="G253" s="94"/>
      <c r="H253" s="93"/>
      <c r="I253" s="93"/>
      <c r="J253" s="93"/>
      <c r="K253" s="93"/>
      <c r="L253" s="93"/>
      <c r="M253" s="93"/>
      <c r="N253" s="93"/>
      <c r="O253" s="93"/>
      <c r="P253" s="54">
        <v>3</v>
      </c>
      <c r="Q253" s="94">
        <f t="shared" si="3"/>
        <v>0.10714285714285714</v>
      </c>
      <c r="R253" s="53">
        <v>378</v>
      </c>
      <c r="S253" s="133">
        <f t="shared" si="4"/>
        <v>8.3259911894273134E-2</v>
      </c>
      <c r="T253" s="25"/>
      <c r="U253" s="25"/>
      <c r="V253" s="5"/>
    </row>
    <row r="254" spans="1:23" x14ac:dyDescent="0.35">
      <c r="A254" s="24"/>
      <c r="B254" s="54"/>
      <c r="C254" s="93"/>
      <c r="D254" s="93"/>
      <c r="E254" s="93"/>
      <c r="F254" s="25"/>
      <c r="G254" s="94"/>
      <c r="H254" s="93"/>
      <c r="I254" s="93"/>
      <c r="J254" s="93"/>
      <c r="K254" s="93"/>
      <c r="L254" s="93"/>
      <c r="M254" s="93"/>
      <c r="N254" s="93"/>
      <c r="O254" s="93"/>
      <c r="P254" s="54"/>
      <c r="Q254" s="94"/>
      <c r="R254" s="53"/>
      <c r="S254" s="133"/>
      <c r="T254" s="25"/>
      <c r="U254" s="25"/>
      <c r="V254" s="5"/>
    </row>
    <row r="255" spans="1:23" x14ac:dyDescent="0.35">
      <c r="A255" s="24"/>
      <c r="B255" s="25"/>
      <c r="C255" s="25"/>
      <c r="D255" s="25"/>
      <c r="E255" s="25"/>
      <c r="F255" s="25"/>
      <c r="G255" s="25"/>
      <c r="H255" s="95"/>
      <c r="I255" s="95"/>
      <c r="J255" s="95"/>
      <c r="K255" s="95"/>
      <c r="L255" s="95"/>
      <c r="M255" s="95"/>
      <c r="N255" s="95"/>
      <c r="O255" s="95"/>
      <c r="P255" s="34">
        <f>SUM(P246:P254)</f>
        <v>28</v>
      </c>
      <c r="Q255" s="133">
        <f>SUM(Q246:Q254)</f>
        <v>0.99999999999999989</v>
      </c>
      <c r="R255" s="53">
        <f>SUM(R246:R254)</f>
        <v>4540</v>
      </c>
      <c r="S255" s="133">
        <f>SUM(S246:S254)</f>
        <v>1</v>
      </c>
      <c r="T255" s="25"/>
      <c r="U255" s="25"/>
      <c r="V255" s="5"/>
    </row>
    <row r="256" spans="1:23" x14ac:dyDescent="0.35">
      <c r="A256" s="24"/>
      <c r="B256" s="25"/>
      <c r="C256" s="25"/>
      <c r="D256" s="25"/>
      <c r="E256" s="25"/>
      <c r="F256" s="25"/>
      <c r="G256" s="25"/>
      <c r="H256" s="95"/>
      <c r="I256" s="95"/>
      <c r="J256" s="95"/>
      <c r="K256" s="95"/>
      <c r="L256" s="95"/>
      <c r="M256" s="95"/>
      <c r="N256" s="95"/>
      <c r="O256" s="95"/>
      <c r="P256" s="34"/>
      <c r="Q256" s="133"/>
      <c r="R256" s="53"/>
      <c r="S256" s="133"/>
      <c r="T256" s="25"/>
      <c r="U256" s="25"/>
      <c r="V256" s="5"/>
    </row>
    <row r="257" spans="1:22" x14ac:dyDescent="0.35">
      <c r="A257" s="142"/>
      <c r="B257" s="14" t="s">
        <v>173</v>
      </c>
      <c r="C257" s="140"/>
      <c r="D257" s="140"/>
      <c r="E257" s="140"/>
      <c r="F257" s="140"/>
      <c r="G257" s="140"/>
      <c r="H257" s="146"/>
      <c r="I257" s="146"/>
      <c r="J257" s="146"/>
      <c r="K257" s="146"/>
      <c r="L257" s="146"/>
      <c r="M257" s="146"/>
      <c r="N257" s="146"/>
      <c r="O257" s="146"/>
      <c r="P257" s="83" t="s">
        <v>106</v>
      </c>
      <c r="Q257" s="17" t="s">
        <v>107</v>
      </c>
      <c r="R257" s="83" t="s">
        <v>115</v>
      </c>
      <c r="S257" s="17" t="s">
        <v>107</v>
      </c>
      <c r="T257" s="140"/>
      <c r="U257" s="141"/>
      <c r="V257" s="5"/>
    </row>
    <row r="258" spans="1:22" x14ac:dyDescent="0.35">
      <c r="A258" s="24"/>
      <c r="B258" s="54" t="s">
        <v>92</v>
      </c>
      <c r="C258" s="25"/>
      <c r="D258" s="25"/>
      <c r="E258" s="25"/>
      <c r="F258" s="25"/>
      <c r="G258" s="25"/>
      <c r="H258" s="95"/>
      <c r="I258" s="95"/>
      <c r="J258" s="95"/>
      <c r="K258" s="95"/>
      <c r="L258" s="95"/>
      <c r="M258" s="95"/>
      <c r="N258" s="95"/>
      <c r="O258" s="95"/>
      <c r="P258" s="54">
        <v>0</v>
      </c>
      <c r="Q258" s="94">
        <v>0</v>
      </c>
      <c r="R258" s="53">
        <v>0</v>
      </c>
      <c r="S258" s="133">
        <v>0</v>
      </c>
      <c r="T258" s="25"/>
      <c r="U258" s="25"/>
      <c r="V258" s="5"/>
    </row>
    <row r="259" spans="1:22" x14ac:dyDescent="0.35">
      <c r="A259" s="24"/>
      <c r="B259" s="54" t="s">
        <v>93</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94</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164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165</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166</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167</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168</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c r="C266" s="25"/>
      <c r="D266" s="25"/>
      <c r="E266" s="25"/>
      <c r="F266" s="25"/>
      <c r="G266" s="25"/>
      <c r="H266" s="95"/>
      <c r="I266" s="95"/>
      <c r="J266" s="95"/>
      <c r="K266" s="95"/>
      <c r="L266" s="95"/>
      <c r="M266" s="95"/>
      <c r="N266" s="95"/>
      <c r="O266" s="95"/>
      <c r="P266" s="54"/>
      <c r="Q266" s="94"/>
      <c r="R266" s="53"/>
      <c r="S266" s="133"/>
      <c r="T266" s="25"/>
      <c r="U266" s="25"/>
      <c r="V266" s="5"/>
    </row>
    <row r="267" spans="1:22" x14ac:dyDescent="0.35">
      <c r="A267" s="24"/>
      <c r="B267" s="25" t="s">
        <v>121</v>
      </c>
      <c r="C267" s="25"/>
      <c r="D267" s="25"/>
      <c r="E267" s="25"/>
      <c r="F267" s="25"/>
      <c r="G267" s="25"/>
      <c r="H267" s="95"/>
      <c r="I267" s="95"/>
      <c r="J267" s="95"/>
      <c r="K267" s="95"/>
      <c r="L267" s="95"/>
      <c r="M267" s="95"/>
      <c r="N267" s="95"/>
      <c r="O267" s="95"/>
      <c r="P267" s="34">
        <f>SUM(P258:P265)</f>
        <v>0</v>
      </c>
      <c r="Q267" s="94">
        <f>SUM(Q258:Q265)</f>
        <v>0</v>
      </c>
      <c r="R267" s="53">
        <f>SUM(R258:R265)</f>
        <v>0</v>
      </c>
      <c r="S267" s="133">
        <f>SUM(S258:S265)</f>
        <v>0</v>
      </c>
      <c r="T267" s="25"/>
      <c r="U267" s="25"/>
      <c r="V267" s="5"/>
    </row>
    <row r="268" spans="1:22" x14ac:dyDescent="0.35">
      <c r="A268" s="24"/>
      <c r="B268" s="25"/>
      <c r="C268" s="25"/>
      <c r="D268" s="25"/>
      <c r="E268" s="25"/>
      <c r="F268" s="25"/>
      <c r="G268" s="25"/>
      <c r="H268" s="95"/>
      <c r="I268" s="95"/>
      <c r="J268" s="95"/>
      <c r="K268" s="95"/>
      <c r="L268" s="95"/>
      <c r="M268" s="95"/>
      <c r="N268" s="95"/>
      <c r="O268" s="95"/>
      <c r="P268" s="34"/>
      <c r="Q268" s="133"/>
      <c r="R268" s="53"/>
      <c r="S268" s="133"/>
      <c r="T268" s="25"/>
      <c r="U268" s="25"/>
      <c r="V268" s="5"/>
    </row>
    <row r="269" spans="1:22" x14ac:dyDescent="0.35">
      <c r="A269" s="24"/>
      <c r="B269" s="143" t="s">
        <v>174</v>
      </c>
      <c r="C269" s="25"/>
      <c r="D269" s="25"/>
      <c r="E269" s="25"/>
      <c r="F269" s="25"/>
      <c r="G269" s="25"/>
      <c r="H269" s="95"/>
      <c r="I269" s="95"/>
      <c r="J269" s="95"/>
      <c r="K269" s="95"/>
      <c r="L269" s="95"/>
      <c r="M269" s="95"/>
      <c r="N269" s="95"/>
      <c r="O269" s="95"/>
      <c r="P269" s="162">
        <f>P267+P255+P243</f>
        <v>7119</v>
      </c>
      <c r="Q269" s="144"/>
      <c r="R269" s="145">
        <f>+R267+R255+R243</f>
        <v>939695</v>
      </c>
      <c r="S269" s="144"/>
      <c r="T269" s="25"/>
      <c r="U269" s="25"/>
      <c r="V269" s="5"/>
    </row>
    <row r="270" spans="1:22" x14ac:dyDescent="0.35">
      <c r="A270" s="24"/>
      <c r="B270" s="25"/>
      <c r="C270" s="25"/>
      <c r="D270" s="25"/>
      <c r="E270" s="25"/>
      <c r="F270" s="25"/>
      <c r="G270" s="25"/>
      <c r="H270" s="95"/>
      <c r="I270" s="95"/>
      <c r="J270" s="95"/>
      <c r="K270" s="95"/>
      <c r="L270" s="95"/>
      <c r="M270" s="95"/>
      <c r="N270" s="95"/>
      <c r="O270" s="95"/>
      <c r="P270" s="95"/>
      <c r="Q270" s="95"/>
      <c r="R270" s="53"/>
      <c r="S270" s="95"/>
      <c r="T270" s="25"/>
      <c r="U270" s="25"/>
      <c r="V270" s="5"/>
    </row>
    <row r="271" spans="1:22" x14ac:dyDescent="0.35">
      <c r="A271" s="6"/>
      <c r="B271" s="8"/>
      <c r="C271" s="8"/>
      <c r="D271" s="8"/>
      <c r="E271" s="8"/>
      <c r="F271" s="8"/>
      <c r="G271" s="8"/>
      <c r="H271" s="96"/>
      <c r="I271" s="96"/>
      <c r="J271" s="96"/>
      <c r="K271" s="96"/>
      <c r="L271" s="96"/>
      <c r="M271" s="96"/>
      <c r="N271" s="96"/>
      <c r="O271" s="96"/>
      <c r="P271" s="96"/>
      <c r="Q271" s="96"/>
      <c r="R271" s="97"/>
      <c r="S271" s="96"/>
      <c r="T271" s="8"/>
      <c r="U271" s="8"/>
      <c r="V271" s="5"/>
    </row>
    <row r="272" spans="1:22" x14ac:dyDescent="0.35">
      <c r="A272" s="168"/>
      <c r="B272" s="14" t="s">
        <v>95</v>
      </c>
      <c r="C272" s="15"/>
      <c r="D272" s="15"/>
      <c r="E272" s="15"/>
      <c r="F272" s="17" t="s">
        <v>101</v>
      </c>
      <c r="G272" s="15"/>
      <c r="H272" s="14" t="s">
        <v>103</v>
      </c>
      <c r="I272" s="163"/>
      <c r="J272" s="163"/>
      <c r="K272" s="163"/>
      <c r="L272" s="163"/>
      <c r="M272" s="163"/>
      <c r="N272" s="163"/>
      <c r="O272" s="163"/>
      <c r="P272" s="163"/>
      <c r="Q272" s="163"/>
      <c r="R272" s="163"/>
      <c r="S272" s="163"/>
      <c r="T272" s="163"/>
      <c r="U272" s="163"/>
      <c r="V272" s="5"/>
    </row>
    <row r="273" spans="1:22" x14ac:dyDescent="0.35">
      <c r="A273" s="168"/>
      <c r="B273" s="13" t="s">
        <v>96</v>
      </c>
      <c r="C273" s="13"/>
      <c r="D273" s="13"/>
      <c r="E273" s="13"/>
      <c r="F273" s="131" t="s">
        <v>155</v>
      </c>
      <c r="G273" s="13"/>
      <c r="H273" s="13" t="s">
        <v>160</v>
      </c>
      <c r="I273" s="163"/>
      <c r="J273" s="163"/>
      <c r="K273" s="163"/>
      <c r="L273" s="163"/>
      <c r="M273" s="163"/>
      <c r="N273" s="163"/>
      <c r="O273" s="163"/>
      <c r="P273" s="163"/>
      <c r="Q273" s="163"/>
      <c r="R273" s="163"/>
      <c r="S273" s="163"/>
      <c r="T273" s="163"/>
      <c r="U273" s="163"/>
      <c r="V273" s="5"/>
    </row>
    <row r="274" spans="1:22" x14ac:dyDescent="0.35">
      <c r="A274" s="168"/>
      <c r="B274" s="13" t="s">
        <v>277</v>
      </c>
      <c r="C274" s="13"/>
      <c r="D274" s="13"/>
      <c r="E274" s="13"/>
      <c r="F274" s="131" t="s">
        <v>278</v>
      </c>
      <c r="G274" s="13"/>
      <c r="H274" s="13" t="s">
        <v>279</v>
      </c>
      <c r="I274" s="163"/>
      <c r="J274" s="163"/>
      <c r="K274" s="163"/>
      <c r="L274" s="163"/>
      <c r="M274" s="163"/>
      <c r="N274" s="163"/>
      <c r="O274" s="163"/>
      <c r="P274" s="163"/>
      <c r="Q274" s="163"/>
      <c r="R274" s="163"/>
      <c r="S274" s="163"/>
      <c r="T274" s="163"/>
      <c r="U274" s="163"/>
      <c r="V274" s="5"/>
    </row>
    <row r="275" spans="1:22" x14ac:dyDescent="0.35">
      <c r="A275" s="168"/>
      <c r="B275" s="13" t="s">
        <v>97</v>
      </c>
      <c r="C275" s="13"/>
      <c r="D275" s="13"/>
      <c r="E275" s="13"/>
      <c r="F275" s="131" t="s">
        <v>154</v>
      </c>
      <c r="G275" s="13"/>
      <c r="H275" s="13" t="s">
        <v>161</v>
      </c>
      <c r="I275" s="163"/>
      <c r="J275" s="163"/>
      <c r="K275" s="163"/>
      <c r="L275" s="163"/>
      <c r="M275" s="163"/>
      <c r="N275" s="163"/>
      <c r="O275" s="163"/>
      <c r="P275" s="163"/>
      <c r="Q275" s="163"/>
      <c r="R275" s="163"/>
      <c r="S275" s="163"/>
      <c r="T275" s="163"/>
      <c r="U275" s="163"/>
      <c r="V275" s="5"/>
    </row>
    <row r="276" spans="1:22" x14ac:dyDescent="0.35">
      <c r="A276" s="168"/>
      <c r="B276" s="13"/>
      <c r="C276" s="13"/>
      <c r="D276" s="13"/>
      <c r="E276" s="13"/>
      <c r="F276" s="13"/>
      <c r="G276" s="99"/>
      <c r="H276" s="163"/>
      <c r="I276" s="163"/>
      <c r="J276" s="163"/>
      <c r="K276" s="163"/>
      <c r="L276" s="163"/>
      <c r="M276" s="163"/>
      <c r="N276" s="163"/>
      <c r="O276" s="163"/>
      <c r="P276" s="163"/>
      <c r="Q276" s="163"/>
      <c r="R276" s="163"/>
      <c r="S276" s="163"/>
      <c r="T276" s="163"/>
      <c r="U276" s="163"/>
      <c r="V276" s="5"/>
    </row>
    <row r="277" spans="1:22" x14ac:dyDescent="0.35">
      <c r="A277" s="168"/>
      <c r="B277" s="13"/>
      <c r="C277" s="13"/>
      <c r="D277" s="13"/>
      <c r="E277" s="13"/>
      <c r="F277" s="13"/>
      <c r="G277" s="99"/>
      <c r="H277" s="163"/>
      <c r="I277" s="163"/>
      <c r="J277" s="163"/>
      <c r="K277" s="163"/>
      <c r="L277" s="163"/>
      <c r="M277" s="163"/>
      <c r="N277" s="163"/>
      <c r="O277" s="163"/>
      <c r="P277" s="163"/>
      <c r="Q277" s="163"/>
      <c r="R277" s="163"/>
      <c r="S277" s="163"/>
      <c r="T277" s="163"/>
      <c r="U277" s="163"/>
      <c r="V277" s="5"/>
    </row>
    <row r="278" spans="1:22" ht="18" thickBot="1" x14ac:dyDescent="0.4">
      <c r="A278" s="168"/>
      <c r="B278" s="49" t="str">
        <f>B194</f>
        <v>PM10 INVESTOR REPORT QUARTER ENDING NOVEMBER 2006</v>
      </c>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00"/>
      <c r="B279" s="100"/>
      <c r="C279" s="100"/>
      <c r="D279" s="100"/>
      <c r="E279" s="100"/>
      <c r="F279" s="100"/>
      <c r="G279" s="100"/>
      <c r="H279" s="100"/>
      <c r="I279" s="100"/>
      <c r="J279" s="100"/>
      <c r="K279" s="100"/>
      <c r="L279" s="100"/>
      <c r="M279" s="100"/>
      <c r="N279" s="100"/>
      <c r="O279" s="100"/>
      <c r="P279" s="100"/>
      <c r="Q279" s="100"/>
      <c r="R279" s="100"/>
      <c r="S279" s="100"/>
      <c r="T279" s="100"/>
      <c r="U279" s="100"/>
    </row>
  </sheetData>
  <phoneticPr fontId="0" type="noConversion"/>
  <hyperlinks>
    <hyperlink ref="J9" r:id="rId1" xr:uid="{00000000-0004-0000-0300-000000000000}"/>
    <hyperlink ref="N231" r:id="rId2" xr:uid="{00000000-0004-0000-0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4" max="14" man="1"/>
    <brk id="194"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0.68159999999999998</v>
      </c>
      <c r="R16" s="222" t="s">
        <v>147</v>
      </c>
      <c r="S16" s="221">
        <v>0.31840000000000002</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42360</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342</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112793.01</v>
      </c>
      <c r="E32" s="289"/>
      <c r="F32" s="290">
        <f>F31*F38</f>
        <v>105000</v>
      </c>
      <c r="G32" s="290"/>
      <c r="H32" s="295">
        <f>H31*H38</f>
        <v>222000</v>
      </c>
      <c r="I32" s="290"/>
      <c r="J32" s="290">
        <f>J31*J38</f>
        <v>25764.3976</v>
      </c>
      <c r="K32" s="290"/>
      <c r="L32" s="295">
        <f>L31*L38</f>
        <v>16206.637199999999</v>
      </c>
      <c r="M32" s="290"/>
      <c r="N32" s="296">
        <f>N31*N38</f>
        <v>42802.144399999997</v>
      </c>
      <c r="O32" s="290"/>
      <c r="P32" s="295">
        <f>P31*P38</f>
        <v>22855.513999999999</v>
      </c>
      <c r="Q32" s="290"/>
      <c r="R32" s="290"/>
      <c r="S32" s="291"/>
      <c r="T32" s="290"/>
      <c r="U32" s="292"/>
      <c r="V32" s="5"/>
    </row>
    <row r="33" spans="1:22" x14ac:dyDescent="0.35">
      <c r="A33" s="278"/>
      <c r="B33" s="286" t="s">
        <v>141</v>
      </c>
      <c r="C33" s="289"/>
      <c r="D33" s="299">
        <f>D37*D31</f>
        <v>105128.87</v>
      </c>
      <c r="E33" s="293"/>
      <c r="F33" s="297">
        <f>F37*F31</f>
        <v>105000</v>
      </c>
      <c r="G33" s="297"/>
      <c r="H33" s="300">
        <f>H31*H37</f>
        <v>222000</v>
      </c>
      <c r="I33" s="297"/>
      <c r="J33" s="297">
        <f>J31*J37</f>
        <v>25410.055200000003</v>
      </c>
      <c r="K33" s="297"/>
      <c r="L33" s="300">
        <f>L31*L37</f>
        <v>15983.744400000001</v>
      </c>
      <c r="M33" s="297"/>
      <c r="N33" s="297">
        <f>N31*N37</f>
        <v>42213.478800000004</v>
      </c>
      <c r="O33" s="297"/>
      <c r="P33" s="300">
        <f>P31*P37</f>
        <v>22541.178</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64712.015853599994</v>
      </c>
      <c r="E35" s="289"/>
      <c r="F35" s="290">
        <f>F34*F38</f>
        <v>105000</v>
      </c>
      <c r="G35" s="290"/>
      <c r="H35" s="290">
        <f>H34*H38</f>
        <v>150000</v>
      </c>
      <c r="I35" s="290"/>
      <c r="J35" s="290">
        <f>J32</f>
        <v>25764.3976</v>
      </c>
      <c r="K35" s="290"/>
      <c r="L35" s="290">
        <f>L34*L38</f>
        <v>10950.700089600001</v>
      </c>
      <c r="M35" s="290"/>
      <c r="N35" s="290">
        <f>N32</f>
        <v>42802.144399999997</v>
      </c>
      <c r="O35" s="290"/>
      <c r="P35" s="290">
        <f>P34*P38</f>
        <v>15442.8474776</v>
      </c>
      <c r="Q35" s="290"/>
      <c r="R35" s="290"/>
      <c r="S35" s="291"/>
      <c r="T35" s="290">
        <f>SUM(C35:P35)</f>
        <v>414672.10542079998</v>
      </c>
      <c r="U35" s="292"/>
      <c r="V35" s="5"/>
    </row>
    <row r="36" spans="1:22" x14ac:dyDescent="0.35">
      <c r="A36" s="283"/>
      <c r="B36" s="286" t="s">
        <v>298</v>
      </c>
      <c r="C36" s="293"/>
      <c r="D36" s="297">
        <f>D37*D34</f>
        <v>60314.917583199996</v>
      </c>
      <c r="E36" s="293"/>
      <c r="F36" s="297">
        <f>F37*F34</f>
        <v>105000</v>
      </c>
      <c r="G36" s="297"/>
      <c r="H36" s="297">
        <f>H37*H34</f>
        <v>150000</v>
      </c>
      <c r="I36" s="297"/>
      <c r="J36" s="297">
        <f>J37*J34</f>
        <v>25410.055200000003</v>
      </c>
      <c r="K36" s="297"/>
      <c r="L36" s="297">
        <f>L37*L34</f>
        <v>10800.0931392</v>
      </c>
      <c r="M36" s="297"/>
      <c r="N36" s="297">
        <f>N37*N34</f>
        <v>42213.478800000004</v>
      </c>
      <c r="O36" s="297"/>
      <c r="P36" s="297">
        <f>P34*P37</f>
        <v>15230.4592152</v>
      </c>
      <c r="Q36" s="322"/>
      <c r="R36" s="322"/>
      <c r="S36" s="291"/>
      <c r="T36" s="297">
        <f>SUM(C36:P36)</f>
        <v>408969.00393760001</v>
      </c>
      <c r="U36" s="292"/>
      <c r="V36" s="5"/>
    </row>
    <row r="37" spans="1:22" x14ac:dyDescent="0.35">
      <c r="A37" s="305"/>
      <c r="B37" s="306" t="s">
        <v>137</v>
      </c>
      <c r="C37" s="307"/>
      <c r="D37" s="308">
        <v>9.5571699999999996E-2</v>
      </c>
      <c r="E37" s="309"/>
      <c r="F37" s="308">
        <v>1</v>
      </c>
      <c r="G37" s="308"/>
      <c r="H37" s="308">
        <v>1</v>
      </c>
      <c r="I37" s="308"/>
      <c r="J37" s="308">
        <v>0.81967920000000005</v>
      </c>
      <c r="K37" s="308"/>
      <c r="L37" s="308">
        <v>0.81967920000000005</v>
      </c>
      <c r="M37" s="308"/>
      <c r="N37" s="308">
        <v>0.81967920000000005</v>
      </c>
      <c r="O37" s="308"/>
      <c r="P37" s="308">
        <v>0.81967920000000005</v>
      </c>
      <c r="Q37" s="310"/>
      <c r="R37" s="310"/>
      <c r="S37" s="311"/>
      <c r="T37" s="311"/>
      <c r="U37" s="312"/>
      <c r="V37" s="5"/>
    </row>
    <row r="38" spans="1:22" x14ac:dyDescent="0.35">
      <c r="A38" s="305"/>
      <c r="B38" s="306" t="s">
        <v>138</v>
      </c>
      <c r="C38" s="307"/>
      <c r="D38" s="308">
        <v>0.10253909999999999</v>
      </c>
      <c r="E38" s="309"/>
      <c r="F38" s="308">
        <v>1</v>
      </c>
      <c r="G38" s="308"/>
      <c r="H38" s="308">
        <v>1</v>
      </c>
      <c r="I38" s="308"/>
      <c r="J38" s="308">
        <v>0.8311096</v>
      </c>
      <c r="K38" s="308"/>
      <c r="L38" s="308">
        <v>0.8311096</v>
      </c>
      <c r="M38" s="308"/>
      <c r="N38" s="308">
        <v>0.8311096</v>
      </c>
      <c r="O38" s="308"/>
      <c r="P38" s="308">
        <v>0.8311096</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2.8700000000000002E-3</v>
      </c>
      <c r="E40" s="279"/>
      <c r="F40" s="316">
        <v>9.0749999999999997E-3</v>
      </c>
      <c r="G40" s="315"/>
      <c r="H40" s="316">
        <v>2.82E-3</v>
      </c>
      <c r="I40" s="315"/>
      <c r="J40" s="316">
        <v>1.1275E-2</v>
      </c>
      <c r="K40" s="315"/>
      <c r="L40" s="316">
        <v>5.0200000000000002E-3</v>
      </c>
      <c r="M40" s="315"/>
      <c r="N40" s="316">
        <v>1.6875000000000001E-2</v>
      </c>
      <c r="O40" s="315"/>
      <c r="P40" s="316">
        <v>1.0619999999999999E-2</v>
      </c>
      <c r="Q40" s="315"/>
      <c r="R40" s="316"/>
      <c r="S40" s="281"/>
      <c r="T40" s="287"/>
      <c r="U40" s="282"/>
      <c r="V40" s="5"/>
    </row>
    <row r="41" spans="1:22" x14ac:dyDescent="0.35">
      <c r="A41" s="278"/>
      <c r="B41" s="279" t="s">
        <v>13</v>
      </c>
      <c r="C41" s="279"/>
      <c r="D41" s="316">
        <v>2.8760000000000001E-3</v>
      </c>
      <c r="E41" s="279"/>
      <c r="F41" s="316">
        <v>8.9125000000000003E-3</v>
      </c>
      <c r="G41" s="315"/>
      <c r="H41" s="316">
        <v>3.0599999999999998E-3</v>
      </c>
      <c r="I41" s="315"/>
      <c r="J41" s="316">
        <v>1.1112500000000001E-2</v>
      </c>
      <c r="K41" s="315"/>
      <c r="L41" s="316">
        <v>5.2599999999999999E-3</v>
      </c>
      <c r="M41" s="315"/>
      <c r="N41" s="316">
        <v>1.6712500000000002E-2</v>
      </c>
      <c r="O41" s="315"/>
      <c r="P41" s="316">
        <v>1.086E-2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7.0305999999999997E-3</v>
      </c>
      <c r="E43" s="279"/>
      <c r="F43" s="316">
        <f>+F40</f>
        <v>9.0749999999999997E-3</v>
      </c>
      <c r="G43" s="315"/>
      <c r="H43" s="316">
        <v>9.5250000000000005E-3</v>
      </c>
      <c r="I43" s="315"/>
      <c r="J43" s="316">
        <f>+J40</f>
        <v>1.1275E-2</v>
      </c>
      <c r="K43" s="315"/>
      <c r="L43" s="316">
        <v>1.2005E-2</v>
      </c>
      <c r="M43" s="315"/>
      <c r="N43" s="316">
        <f>+N40</f>
        <v>1.6875000000000001E-2</v>
      </c>
      <c r="O43" s="315"/>
      <c r="P43" s="316">
        <v>1.8105E-2</v>
      </c>
      <c r="Q43" s="287"/>
      <c r="R43" s="287"/>
      <c r="S43" s="281"/>
      <c r="T43" s="315">
        <f>SUMPRODUCT(D43:P43,D35:P35)/T35</f>
        <v>1.0274202003977414E-2</v>
      </c>
      <c r="U43" s="282"/>
      <c r="V43" s="5"/>
    </row>
    <row r="44" spans="1:22" x14ac:dyDescent="0.35">
      <c r="A44" s="278"/>
      <c r="B44" s="279" t="s">
        <v>301</v>
      </c>
      <c r="C44" s="317"/>
      <c r="D44" s="316">
        <v>6.8681000000000002E-3</v>
      </c>
      <c r="E44" s="279"/>
      <c r="F44" s="316">
        <f>+F41</f>
        <v>8.9125000000000003E-3</v>
      </c>
      <c r="G44" s="315"/>
      <c r="H44" s="316">
        <v>9.3624999999999993E-3</v>
      </c>
      <c r="I44" s="315"/>
      <c r="J44" s="316">
        <f>+J41</f>
        <v>1.1112500000000001E-2</v>
      </c>
      <c r="K44" s="315"/>
      <c r="L44" s="316">
        <v>1.1842500000000001E-2</v>
      </c>
      <c r="M44" s="315"/>
      <c r="N44" s="316">
        <f>+N41</f>
        <v>1.6712500000000002E-2</v>
      </c>
      <c r="O44" s="315"/>
      <c r="P44" s="316">
        <v>1.79425E-2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0.29701761994716958</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42353</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42170</v>
      </c>
      <c r="S57" s="328"/>
      <c r="T57" s="327">
        <v>42261</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42262</v>
      </c>
      <c r="S58" s="328"/>
      <c r="T58" s="327">
        <v>42352</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42339</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343</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414672</v>
      </c>
      <c r="M68" s="332"/>
      <c r="N68" s="332">
        <f>5703+92+163</f>
        <v>5958</v>
      </c>
      <c r="O68" s="332"/>
      <c r="P68" s="332">
        <f>92+163</f>
        <v>255</v>
      </c>
      <c r="Q68" s="332"/>
      <c r="R68" s="332">
        <v>0</v>
      </c>
      <c r="S68" s="332"/>
      <c r="T68" s="333">
        <f>+L68-N68+P68-R68</f>
        <v>408969</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414672</v>
      </c>
      <c r="M71" s="332"/>
      <c r="N71" s="332">
        <f>SUM(N68:N70)</f>
        <v>5958</v>
      </c>
      <c r="O71" s="332"/>
      <c r="P71" s="332">
        <f>SUM(P68:P70)</f>
        <v>255</v>
      </c>
      <c r="Q71" s="332"/>
      <c r="R71" s="332">
        <f>SUM(R68:R70)</f>
        <v>0</v>
      </c>
      <c r="S71" s="332"/>
      <c r="T71" s="332">
        <f>SUM(T68:T70)</f>
        <v>408969</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414672</v>
      </c>
      <c r="M84" s="332"/>
      <c r="N84" s="332"/>
      <c r="O84" s="332"/>
      <c r="P84" s="332"/>
      <c r="Q84" s="332"/>
      <c r="R84" s="332"/>
      <c r="S84" s="332"/>
      <c r="T84" s="332">
        <f>SUM(T71:T83)</f>
        <v>408969</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42338</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5958-144</f>
        <v>5814</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1909+891-296-303</f>
        <v>2201</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52+245</f>
        <v>297</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32</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6</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5814</v>
      </c>
      <c r="S96" s="279"/>
      <c r="T96" s="332">
        <f>SUM(T88:T95)</f>
        <v>2536</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28</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5814</v>
      </c>
      <c r="S100" s="279"/>
      <c r="T100" s="332">
        <f>T96+T98+T97+T99</f>
        <v>2564</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-158-165-6</f>
        <v>-329</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238-707</f>
        <v>-469</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-238</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-33</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-72</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-70</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-180</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144</v>
      </c>
      <c r="S115" s="279"/>
      <c r="T115" s="333">
        <v>-144</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-158</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-862</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-20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-235</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-4397</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-354</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-151</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-589</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-212</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-5958</v>
      </c>
      <c r="S132" s="332"/>
      <c r="T132" s="332">
        <f>SUM(T101:T130)</f>
        <v>-2564</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NOVEMBER 2015</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144</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144</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-144</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408969</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408969</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+'Aug 15'!Q183</f>
        <v>44943</v>
      </c>
      <c r="R181" s="333">
        <f>+'Aug 15'!R183</f>
        <v>5995</v>
      </c>
      <c r="S181" s="279"/>
      <c r="T181" s="333">
        <f>Q181+R181</f>
        <v>50938</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f>143+92</f>
        <v>235</v>
      </c>
      <c r="R182" s="332">
        <v>0</v>
      </c>
      <c r="S182" s="279"/>
      <c r="T182" s="333">
        <f>Q182+R182</f>
        <v>235</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45178</v>
      </c>
      <c r="R183" s="333">
        <f>R182+R181</f>
        <v>5995</v>
      </c>
      <c r="S183" s="279"/>
      <c r="T183" s="333">
        <f>Q183+R183</f>
        <v>51173</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108883.48000000001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3.1584158415841586</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1.71</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14.533333333333333</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9.1199999999999992</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5.6840000000000002</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4.4400000000000004</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NOVEMBER 2015</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42338</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2.264E-2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1.0274202003977414E-2</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1.2365797996022587E-2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6.1832002160743917E-3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12.03</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1.4367982405370992E-2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9.0700000000000003E-2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91</v>
      </c>
      <c r="R217" s="358">
        <f>+R269</f>
        <v>15030</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144</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'Aug 15'!R223+R222</f>
        <v>5818</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4</v>
      </c>
      <c r="R229" s="358">
        <v>580</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0.42</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3034</v>
      </c>
      <c r="Q236" s="378">
        <f t="shared" ref="Q236:Q243" si="2">P236/$P$245</f>
        <v>0.99671484888304862</v>
      </c>
      <c r="R236" s="237">
        <f t="shared" ref="R236:R243" si="3">+R248+R260+R272</f>
        <v>407731</v>
      </c>
      <c r="S236" s="378">
        <f t="shared" ref="S236:S243" si="4">R236/$R$245</f>
        <v>0.99697287569473481</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4</v>
      </c>
      <c r="Q237" s="378">
        <f t="shared" si="2"/>
        <v>1.3140604467805519E-3</v>
      </c>
      <c r="R237" s="333">
        <f t="shared" si="3"/>
        <v>339</v>
      </c>
      <c r="S237" s="378">
        <f t="shared" si="4"/>
        <v>8.2891368294418408E-4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0</v>
      </c>
      <c r="Q238" s="378">
        <f t="shared" si="2"/>
        <v>0</v>
      </c>
      <c r="R238" s="333">
        <f t="shared" si="3"/>
        <v>0</v>
      </c>
      <c r="S238" s="378">
        <f t="shared" si="4"/>
        <v>0</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2</v>
      </c>
      <c r="Q239" s="378">
        <f t="shared" si="2"/>
        <v>6.5703022339027597E-4</v>
      </c>
      <c r="R239" s="333">
        <f t="shared" si="3"/>
        <v>190</v>
      </c>
      <c r="S239" s="378">
        <f t="shared" si="4"/>
        <v>4.6458289014570785E-4</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1</v>
      </c>
      <c r="Q240" s="378">
        <f t="shared" si="2"/>
        <v>3.2851511169513798E-4</v>
      </c>
      <c r="R240" s="333">
        <f t="shared" si="3"/>
        <v>300</v>
      </c>
      <c r="S240" s="378">
        <f t="shared" si="4"/>
        <v>7.3355193180901237E-4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3.2851511169513798E-4</v>
      </c>
      <c r="R241" s="333">
        <f t="shared" si="3"/>
        <v>133</v>
      </c>
      <c r="S241" s="378">
        <f t="shared" si="4"/>
        <v>3.2520802310199553E-4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0</v>
      </c>
      <c r="Q242" s="378">
        <f t="shared" si="2"/>
        <v>0</v>
      </c>
      <c r="R242" s="333">
        <f t="shared" si="3"/>
        <v>0</v>
      </c>
      <c r="S242" s="378">
        <f t="shared" si="4"/>
        <v>0</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2</v>
      </c>
      <c r="Q243" s="378">
        <f t="shared" si="2"/>
        <v>6.5703022339027597E-4</v>
      </c>
      <c r="R243" s="333">
        <f t="shared" si="3"/>
        <v>276</v>
      </c>
      <c r="S243" s="383">
        <f t="shared" si="4"/>
        <v>6.7486777726429145E-4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3044</v>
      </c>
      <c r="Q245" s="378">
        <f>SUM(Q236:Q244)</f>
        <v>1</v>
      </c>
      <c r="R245" s="333">
        <f>SUM(R236:R244)</f>
        <v>408969</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2950</v>
      </c>
      <c r="Q248" s="244">
        <f t="shared" ref="Q248:Q255" si="5">P248/$P$257</f>
        <v>0.9989840839823908</v>
      </c>
      <c r="R248" s="237">
        <v>393650</v>
      </c>
      <c r="S248" s="244">
        <f t="shared" ref="S248:S255" si="6">R248/$R$257</f>
        <v>0.99926638388176847</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3</v>
      </c>
      <c r="Q249" s="378">
        <f t="shared" si="5"/>
        <v>1.0159160176092109E-3</v>
      </c>
      <c r="R249" s="333">
        <v>289</v>
      </c>
      <c r="S249" s="378">
        <f t="shared" si="6"/>
        <v>7.336161182315028E-4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2953</v>
      </c>
      <c r="Q257" s="378">
        <f>SUM(Q248:Q256)</f>
        <v>1</v>
      </c>
      <c r="R257" s="333">
        <f>SUM(R248:R256)</f>
        <v>393939</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84</v>
      </c>
      <c r="Q260" s="244">
        <f t="shared" ref="Q260:Q267" si="7">P260/$P$269</f>
        <v>0.92307692307692313</v>
      </c>
      <c r="R260" s="237">
        <v>14081</v>
      </c>
      <c r="S260" s="244">
        <f t="shared" ref="S260:S267" si="8">R260/$R$269</f>
        <v>0.93685961410512308</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1.098901098901099E-2</v>
      </c>
      <c r="R261" s="333">
        <v>50</v>
      </c>
      <c r="S261" s="378">
        <f t="shared" si="8"/>
        <v>3.3266799733865601E-3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2</v>
      </c>
      <c r="Q263" s="378">
        <f t="shared" si="7"/>
        <v>2.197802197802198E-2</v>
      </c>
      <c r="R263" s="333">
        <v>190</v>
      </c>
      <c r="S263" s="378">
        <f t="shared" si="8"/>
        <v>1.2641383898868928E-2</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1.098901098901099E-2</v>
      </c>
      <c r="R264" s="333">
        <v>300</v>
      </c>
      <c r="S264" s="378">
        <f t="shared" si="8"/>
        <v>1.9960079840319361E-2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1.098901098901099E-2</v>
      </c>
      <c r="R265" s="333">
        <v>133</v>
      </c>
      <c r="S265" s="378">
        <f t="shared" si="8"/>
        <v>8.8489687292082498E-3</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2</v>
      </c>
      <c r="Q267" s="378">
        <f t="shared" si="7"/>
        <v>2.197802197802198E-2</v>
      </c>
      <c r="R267" s="333">
        <v>276</v>
      </c>
      <c r="S267" s="378">
        <f t="shared" si="8"/>
        <v>1.8363273453093812E-2</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91</v>
      </c>
      <c r="Q269" s="378">
        <f>SUM(Q260:Q268)</f>
        <v>1</v>
      </c>
      <c r="R269" s="333">
        <f>SUM(R260:R268)</f>
        <v>15030</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3044</v>
      </c>
      <c r="Q283" s="378"/>
      <c r="R283" s="382">
        <f>+R281+R269+R257</f>
        <v>408969</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NOVEMBER 2015</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700-000000000000}"/>
    <hyperlink ref="N233" r:id="rId2" xr:uid="{00000000-0004-0000-2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0.68269999999999997</v>
      </c>
      <c r="R16" s="222" t="s">
        <v>147</v>
      </c>
      <c r="S16" s="221">
        <v>0.31730000000000003</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42450</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342</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105128.87</v>
      </c>
      <c r="E32" s="289"/>
      <c r="F32" s="290">
        <f>F31*F38</f>
        <v>105000</v>
      </c>
      <c r="G32" s="290"/>
      <c r="H32" s="295">
        <f>H31*H38</f>
        <v>222000</v>
      </c>
      <c r="I32" s="290"/>
      <c r="J32" s="290">
        <f>J31*J38</f>
        <v>25410.055200000003</v>
      </c>
      <c r="K32" s="290"/>
      <c r="L32" s="295">
        <f>L31*L38</f>
        <v>15983.744400000001</v>
      </c>
      <c r="M32" s="290"/>
      <c r="N32" s="296">
        <f>N31*N38</f>
        <v>42213.478800000004</v>
      </c>
      <c r="O32" s="290"/>
      <c r="P32" s="295">
        <f>P31*P38</f>
        <v>22541.178</v>
      </c>
      <c r="Q32" s="290"/>
      <c r="R32" s="290"/>
      <c r="S32" s="291"/>
      <c r="T32" s="290"/>
      <c r="U32" s="292"/>
      <c r="V32" s="5"/>
    </row>
    <row r="33" spans="1:22" x14ac:dyDescent="0.35">
      <c r="A33" s="278"/>
      <c r="B33" s="286" t="s">
        <v>141</v>
      </c>
      <c r="C33" s="289"/>
      <c r="D33" s="299">
        <f>D37*D31</f>
        <v>98384.44</v>
      </c>
      <c r="E33" s="293"/>
      <c r="F33" s="297">
        <f>F37*F31</f>
        <v>105000</v>
      </c>
      <c r="G33" s="297"/>
      <c r="H33" s="300">
        <f>H31*H37</f>
        <v>222000</v>
      </c>
      <c r="I33" s="297"/>
      <c r="J33" s="297">
        <f>J31*J37</f>
        <v>25098.232400000001</v>
      </c>
      <c r="K33" s="297"/>
      <c r="L33" s="300">
        <f>L31*L37</f>
        <v>15787.5978</v>
      </c>
      <c r="M33" s="297"/>
      <c r="N33" s="297">
        <f>N31*N37</f>
        <v>41695.450600000004</v>
      </c>
      <c r="O33" s="297"/>
      <c r="P33" s="300">
        <f>P31*P37</f>
        <v>22264.561000000002</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60314.917583199996</v>
      </c>
      <c r="E35" s="289"/>
      <c r="F35" s="290">
        <f>F34*F38</f>
        <v>105000</v>
      </c>
      <c r="G35" s="290"/>
      <c r="H35" s="290">
        <f>H34*H38</f>
        <v>150000</v>
      </c>
      <c r="I35" s="290"/>
      <c r="J35" s="290">
        <f>J32</f>
        <v>25410.055200000003</v>
      </c>
      <c r="K35" s="290"/>
      <c r="L35" s="290">
        <f>L34*L38</f>
        <v>10800.0931392</v>
      </c>
      <c r="M35" s="290"/>
      <c r="N35" s="290">
        <f>N32</f>
        <v>42213.478800000004</v>
      </c>
      <c r="O35" s="290"/>
      <c r="P35" s="290">
        <f>P34*P38</f>
        <v>15230.4592152</v>
      </c>
      <c r="Q35" s="290"/>
      <c r="R35" s="290"/>
      <c r="S35" s="291"/>
      <c r="T35" s="290">
        <f>SUM(C35:P35)</f>
        <v>408969.00393760001</v>
      </c>
      <c r="U35" s="292"/>
      <c r="V35" s="5"/>
    </row>
    <row r="36" spans="1:22" x14ac:dyDescent="0.35">
      <c r="A36" s="283"/>
      <c r="B36" s="286" t="s">
        <v>298</v>
      </c>
      <c r="C36" s="293"/>
      <c r="D36" s="297">
        <f>D37*D34</f>
        <v>56445.478678400003</v>
      </c>
      <c r="E36" s="293"/>
      <c r="F36" s="297">
        <f>F37*F34</f>
        <v>105000</v>
      </c>
      <c r="G36" s="297"/>
      <c r="H36" s="297">
        <f>H37*H34</f>
        <v>150000</v>
      </c>
      <c r="I36" s="297"/>
      <c r="J36" s="297">
        <f>J37*J34</f>
        <v>25098.232400000001</v>
      </c>
      <c r="K36" s="297"/>
      <c r="L36" s="297">
        <f>L37*L34</f>
        <v>10667.5583904</v>
      </c>
      <c r="M36" s="297"/>
      <c r="N36" s="297">
        <f>N37*N34</f>
        <v>41695.450600000004</v>
      </c>
      <c r="O36" s="297"/>
      <c r="P36" s="297">
        <f>P34*P37</f>
        <v>15043.556652400001</v>
      </c>
      <c r="Q36" s="322"/>
      <c r="R36" s="322"/>
      <c r="S36" s="291"/>
      <c r="T36" s="297">
        <f>SUM(C36:P36)</f>
        <v>403950.27672119997</v>
      </c>
      <c r="U36" s="292"/>
      <c r="V36" s="5"/>
    </row>
    <row r="37" spans="1:22" x14ac:dyDescent="0.35">
      <c r="A37" s="305"/>
      <c r="B37" s="306" t="s">
        <v>137</v>
      </c>
      <c r="C37" s="307"/>
      <c r="D37" s="308">
        <v>8.9440400000000003E-2</v>
      </c>
      <c r="E37" s="309"/>
      <c r="F37" s="308">
        <v>1</v>
      </c>
      <c r="G37" s="308"/>
      <c r="H37" s="308">
        <v>1</v>
      </c>
      <c r="I37" s="308"/>
      <c r="J37" s="308">
        <v>0.80962040000000002</v>
      </c>
      <c r="K37" s="308"/>
      <c r="L37" s="308">
        <v>0.80962040000000002</v>
      </c>
      <c r="M37" s="308"/>
      <c r="N37" s="308">
        <v>0.80962040000000002</v>
      </c>
      <c r="O37" s="308"/>
      <c r="P37" s="308">
        <v>0.80962040000000002</v>
      </c>
      <c r="Q37" s="310"/>
      <c r="R37" s="310"/>
      <c r="S37" s="311"/>
      <c r="T37" s="311"/>
      <c r="U37" s="312"/>
      <c r="V37" s="5"/>
    </row>
    <row r="38" spans="1:22" x14ac:dyDescent="0.35">
      <c r="A38" s="305"/>
      <c r="B38" s="306" t="s">
        <v>138</v>
      </c>
      <c r="C38" s="307"/>
      <c r="D38" s="308">
        <v>9.5571699999999996E-2</v>
      </c>
      <c r="E38" s="309"/>
      <c r="F38" s="308">
        <v>1</v>
      </c>
      <c r="G38" s="308"/>
      <c r="H38" s="308">
        <v>1</v>
      </c>
      <c r="I38" s="308"/>
      <c r="J38" s="308">
        <v>0.81967920000000005</v>
      </c>
      <c r="K38" s="308"/>
      <c r="L38" s="308">
        <v>0.81967920000000005</v>
      </c>
      <c r="M38" s="308"/>
      <c r="N38" s="308">
        <v>0.81967920000000005</v>
      </c>
      <c r="O38" s="308"/>
      <c r="P38" s="308">
        <v>0.81967920000000005</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5.2050000000000004E-3</v>
      </c>
      <c r="E40" s="279"/>
      <c r="F40" s="316">
        <v>9.0337999999999998E-3</v>
      </c>
      <c r="G40" s="315"/>
      <c r="H40" s="316">
        <v>1.92E-3</v>
      </c>
      <c r="I40" s="315"/>
      <c r="J40" s="316">
        <v>1.12338E-2</v>
      </c>
      <c r="K40" s="315"/>
      <c r="L40" s="316">
        <v>4.1200000000000004E-3</v>
      </c>
      <c r="M40" s="315"/>
      <c r="N40" s="316">
        <v>1.6833799999999999E-2</v>
      </c>
      <c r="O40" s="315"/>
      <c r="P40" s="316">
        <v>9.7199999999999995E-3</v>
      </c>
      <c r="Q40" s="315"/>
      <c r="R40" s="316"/>
      <c r="S40" s="281"/>
      <c r="T40" s="287"/>
      <c r="U40" s="282"/>
      <c r="V40" s="5"/>
    </row>
    <row r="41" spans="1:22" x14ac:dyDescent="0.35">
      <c r="A41" s="278"/>
      <c r="B41" s="279" t="s">
        <v>13</v>
      </c>
      <c r="C41" s="279"/>
      <c r="D41" s="316">
        <v>2.8700000000000002E-3</v>
      </c>
      <c r="E41" s="279"/>
      <c r="F41" s="316">
        <v>9.0749999999999997E-3</v>
      </c>
      <c r="G41" s="315"/>
      <c r="H41" s="316">
        <v>2.82E-3</v>
      </c>
      <c r="I41" s="315"/>
      <c r="J41" s="316">
        <v>1.1275E-2</v>
      </c>
      <c r="K41" s="315"/>
      <c r="L41" s="316">
        <v>5.0200000000000002E-3</v>
      </c>
      <c r="M41" s="315"/>
      <c r="N41" s="316">
        <v>1.6875000000000001E-2</v>
      </c>
      <c r="O41" s="315"/>
      <c r="P41" s="316">
        <v>1.0619999999999999E-2</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6.9893999999999998E-3</v>
      </c>
      <c r="E43" s="279"/>
      <c r="F43" s="316">
        <f>+F40</f>
        <v>9.0337999999999998E-3</v>
      </c>
      <c r="G43" s="315"/>
      <c r="H43" s="316">
        <v>9.4838000000000006E-3</v>
      </c>
      <c r="I43" s="315"/>
      <c r="J43" s="316">
        <f>+J40</f>
        <v>1.12338E-2</v>
      </c>
      <c r="K43" s="315"/>
      <c r="L43" s="316">
        <v>1.19638E-2</v>
      </c>
      <c r="M43" s="315"/>
      <c r="N43" s="316">
        <f>+N40</f>
        <v>1.6833799999999999E-2</v>
      </c>
      <c r="O43" s="315"/>
      <c r="P43" s="316">
        <v>1.8063800000000001E-2</v>
      </c>
      <c r="Q43" s="287"/>
      <c r="R43" s="287"/>
      <c r="S43" s="281"/>
      <c r="T43" s="315">
        <f>SUMPRODUCT(D43:P43,D35:P35)/T35</f>
        <v>1.0252803771396044E-2</v>
      </c>
      <c r="U43" s="282"/>
      <c r="V43" s="5"/>
    </row>
    <row r="44" spans="1:22" x14ac:dyDescent="0.35">
      <c r="A44" s="278"/>
      <c r="B44" s="279" t="s">
        <v>301</v>
      </c>
      <c r="C44" s="317"/>
      <c r="D44" s="316">
        <v>7.0305999999999997E-3</v>
      </c>
      <c r="E44" s="279"/>
      <c r="F44" s="316">
        <f>+F41</f>
        <v>9.0749999999999997E-3</v>
      </c>
      <c r="G44" s="315"/>
      <c r="H44" s="316">
        <v>9.5250000000000005E-3</v>
      </c>
      <c r="I44" s="315"/>
      <c r="J44" s="316">
        <f>+J41</f>
        <v>1.1275E-2</v>
      </c>
      <c r="K44" s="315"/>
      <c r="L44" s="316">
        <v>1.2005E-2</v>
      </c>
      <c r="M44" s="315"/>
      <c r="N44" s="316">
        <f>+N41</f>
        <v>1.6875000000000001E-2</v>
      </c>
      <c r="O44" s="315"/>
      <c r="P44" s="316">
        <v>1.8105E-2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0.29701763029387523</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42444</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42262</v>
      </c>
      <c r="S57" s="328"/>
      <c r="T57" s="327">
        <v>42352</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91</v>
      </c>
      <c r="Q58" s="279"/>
      <c r="R58" s="327">
        <v>42353</v>
      </c>
      <c r="S58" s="328"/>
      <c r="T58" s="327">
        <v>42443</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42430</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344</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408969</v>
      </c>
      <c r="M68" s="332"/>
      <c r="N68" s="332">
        <f>5019+224</f>
        <v>5243</v>
      </c>
      <c r="O68" s="332"/>
      <c r="P68" s="332">
        <v>224</v>
      </c>
      <c r="Q68" s="332"/>
      <c r="R68" s="332">
        <v>0</v>
      </c>
      <c r="S68" s="332"/>
      <c r="T68" s="333">
        <f>+L68-N68+P68-R68</f>
        <v>403950</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408969</v>
      </c>
      <c r="M71" s="332"/>
      <c r="N71" s="332">
        <f>SUM(N68:N70)</f>
        <v>5243</v>
      </c>
      <c r="O71" s="332"/>
      <c r="P71" s="332">
        <f>SUM(P68:P70)</f>
        <v>224</v>
      </c>
      <c r="Q71" s="332"/>
      <c r="R71" s="332">
        <f>SUM(R68:R70)</f>
        <v>0</v>
      </c>
      <c r="S71" s="332"/>
      <c r="T71" s="332">
        <f>SUM(T68:T70)</f>
        <v>403950</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408969</v>
      </c>
      <c r="M84" s="332"/>
      <c r="N84" s="332"/>
      <c r="O84" s="332"/>
      <c r="P84" s="332"/>
      <c r="Q84" s="332"/>
      <c r="R84" s="332"/>
      <c r="S84" s="332"/>
      <c r="T84" s="332">
        <f>SUM(T71:T83)</f>
        <v>403950</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42429</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5243-354</f>
        <v>4889</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2030+1031-440-229</f>
        <v>2392</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172+9</f>
        <v>181</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28</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107</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4889</v>
      </c>
      <c r="S96" s="279"/>
      <c r="T96" s="332">
        <f>SUM(T88:T95)</f>
        <v>2708</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203</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4889</v>
      </c>
      <c r="S100" s="279"/>
      <c r="T100" s="332">
        <f>T96+T98+T97+T99</f>
        <v>2911</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-156-149-6</f>
        <v>-311</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-696+236</f>
        <v>-460</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-236</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-32</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-71</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-69</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-177</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354</v>
      </c>
      <c r="S115" s="279"/>
      <c r="T115" s="333">
        <v>-354</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-156</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-1036</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-224</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-3869</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-312</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-133</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-518</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-187</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-5243</v>
      </c>
      <c r="S132" s="332"/>
      <c r="T132" s="332">
        <f>SUM(T101:T130)</f>
        <v>-2911</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FEBRUARY 2016</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354</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354</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-354</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403950</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403950</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+'Nov 15'!Q183</f>
        <v>45178</v>
      </c>
      <c r="R181" s="333">
        <f>+'Nov 15'!R183</f>
        <v>5995</v>
      </c>
      <c r="S181" s="279"/>
      <c r="T181" s="333">
        <f>Q181+R181</f>
        <v>51173</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224</v>
      </c>
      <c r="R182" s="332">
        <v>0</v>
      </c>
      <c r="S182" s="279"/>
      <c r="T182" s="333">
        <f>Q182+R182</f>
        <v>224</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45402</v>
      </c>
      <c r="R183" s="333">
        <f>R182+R181</f>
        <v>5995</v>
      </c>
      <c r="S183" s="279"/>
      <c r="T183" s="333">
        <f>Q183+R183</f>
        <v>51397</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108659.48000000001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3.7327586206896552</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1.72</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18.466019417475728</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9.1999999999999993</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7.3130081300813012</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4.47</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FEBRUARY 2016</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42429</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2.2780000000000002E-2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1.0252803771396044E-2</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1.2527196228603958E-2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7.1178989116534508E-3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11.83</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1.2820042594915508E-2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8.9700000000000002E-2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1</v>
      </c>
      <c r="R216" s="241">
        <v>130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88</v>
      </c>
      <c r="R217" s="358">
        <f>+R269</f>
        <v>14436</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354</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'Nov 15'!R223+R222</f>
        <v>6172</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3</v>
      </c>
      <c r="R229" s="358">
        <v>560</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1.55</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2994</v>
      </c>
      <c r="Q236" s="378">
        <f t="shared" ref="Q236:Q243" si="2">P236/$P$245</f>
        <v>0.99501495513459626</v>
      </c>
      <c r="R236" s="237">
        <f t="shared" ref="R236:R243" si="3">+R248+R260+R272</f>
        <v>402063</v>
      </c>
      <c r="S236" s="378">
        <f t="shared" ref="S236:S243" si="4">R236/$R$245</f>
        <v>0.99532862978091352</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6</v>
      </c>
      <c r="Q237" s="378">
        <f t="shared" si="2"/>
        <v>1.9940179461615153E-3</v>
      </c>
      <c r="R237" s="333">
        <f t="shared" si="3"/>
        <v>841</v>
      </c>
      <c r="S237" s="378">
        <f t="shared" si="4"/>
        <v>2.0819408342616658E-3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4</v>
      </c>
      <c r="Q238" s="378">
        <f t="shared" si="2"/>
        <v>1.3293452974410102E-3</v>
      </c>
      <c r="R238" s="333">
        <f t="shared" si="3"/>
        <v>448</v>
      </c>
      <c r="S238" s="378">
        <f t="shared" si="4"/>
        <v>1.109048149523456E-3</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1</v>
      </c>
      <c r="Q240" s="378">
        <f t="shared" si="2"/>
        <v>3.3233632436025255E-4</v>
      </c>
      <c r="R240" s="333">
        <f t="shared" si="3"/>
        <v>130</v>
      </c>
      <c r="S240" s="378">
        <f t="shared" si="4"/>
        <v>3.2182200767421709E-4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3.3233632436025255E-4</v>
      </c>
      <c r="R241" s="333">
        <f t="shared" si="3"/>
        <v>133</v>
      </c>
      <c r="S241" s="378">
        <f t="shared" si="4"/>
        <v>3.2924866938977595E-4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3.3233632436025255E-4</v>
      </c>
      <c r="R242" s="333">
        <f t="shared" si="3"/>
        <v>59</v>
      </c>
      <c r="S242" s="378">
        <f t="shared" si="4"/>
        <v>1.4605768040599083E-4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2</v>
      </c>
      <c r="Q243" s="378">
        <f t="shared" si="2"/>
        <v>6.646726487205051E-4</v>
      </c>
      <c r="R243" s="333">
        <f t="shared" si="3"/>
        <v>276</v>
      </c>
      <c r="S243" s="383">
        <f t="shared" si="4"/>
        <v>6.8325287783141473E-4</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3009</v>
      </c>
      <c r="Q245" s="378">
        <f>SUM(Q236:Q244)</f>
        <v>1</v>
      </c>
      <c r="R245" s="333">
        <f>SUM(R236:R244)</f>
        <v>403950</v>
      </c>
      <c r="S245" s="378">
        <f>SUM(S236:S244)</f>
        <v>1</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2912</v>
      </c>
      <c r="Q248" s="244">
        <f t="shared" ref="Q248:Q255" si="5">P248/$P$257</f>
        <v>0.99691886340294422</v>
      </c>
      <c r="R248" s="237">
        <v>388321</v>
      </c>
      <c r="S248" s="244">
        <f t="shared" ref="S248:S255" si="6">R248/$R$257</f>
        <v>0.99693720893215643</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5</v>
      </c>
      <c r="Q249" s="378">
        <f t="shared" si="5"/>
        <v>1.7117425539198905E-3</v>
      </c>
      <c r="R249" s="333">
        <v>745</v>
      </c>
      <c r="S249" s="378">
        <f t="shared" si="6"/>
        <v>1.9126398537664885E-3</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4</v>
      </c>
      <c r="Q250" s="378">
        <f t="shared" si="5"/>
        <v>1.3693940431359123E-3</v>
      </c>
      <c r="R250" s="333">
        <v>448</v>
      </c>
      <c r="S250" s="378">
        <f t="shared" si="6"/>
        <v>1.1501512140770294E-3</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2921</v>
      </c>
      <c r="Q257" s="378">
        <f>SUM(Q248:Q256)</f>
        <v>1</v>
      </c>
      <c r="R257" s="333">
        <f>SUM(R248:R256)</f>
        <v>389514</v>
      </c>
      <c r="S257" s="378">
        <f>SUM(S248:S256)</f>
        <v>0.99999999999999989</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82</v>
      </c>
      <c r="Q260" s="244">
        <f t="shared" ref="Q260:Q267" si="7">P260/$P$269</f>
        <v>0.93181818181818177</v>
      </c>
      <c r="R260" s="237">
        <v>13742</v>
      </c>
      <c r="S260" s="244">
        <f t="shared" ref="S260:S267" si="8">R260/$R$269</f>
        <v>0.95192574120254914</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1.1363636363636364E-2</v>
      </c>
      <c r="R261" s="333">
        <v>96</v>
      </c>
      <c r="S261" s="378">
        <f t="shared" si="8"/>
        <v>6.6500415627597674E-3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1.1363636363636364E-2</v>
      </c>
      <c r="R264" s="333">
        <v>130</v>
      </c>
      <c r="S264" s="378">
        <f t="shared" si="8"/>
        <v>9.0052646162371852E-3</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1.1363636363636364E-2</v>
      </c>
      <c r="R265" s="333">
        <v>133</v>
      </c>
      <c r="S265" s="378">
        <f t="shared" si="8"/>
        <v>9.2130784150734283E-3</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1.1363636363636364E-2</v>
      </c>
      <c r="R266" s="333">
        <v>59</v>
      </c>
      <c r="S266" s="378">
        <f t="shared" si="8"/>
        <v>4.0870047104461073E-3</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2</v>
      </c>
      <c r="Q267" s="378">
        <f t="shared" si="7"/>
        <v>2.2727272727272728E-2</v>
      </c>
      <c r="R267" s="333">
        <v>276</v>
      </c>
      <c r="S267" s="378">
        <f t="shared" si="8"/>
        <v>1.9118869492934332E-2</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88</v>
      </c>
      <c r="Q269" s="378">
        <f>SUM(Q260:Q268)</f>
        <v>0.99999999999999989</v>
      </c>
      <c r="R269" s="333">
        <f>SUM(R260:R268)</f>
        <v>14436</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3009</v>
      </c>
      <c r="Q283" s="378"/>
      <c r="R283" s="382">
        <f>+R281+R269+R257</f>
        <v>403950</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FEBRUARY 2016</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800-000000000000}"/>
    <hyperlink ref="N233" r:id="rId2" xr:uid="{00000000-0004-0000-2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89CB31"/>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0.6825</v>
      </c>
      <c r="R16" s="222" t="s">
        <v>147</v>
      </c>
      <c r="S16" s="221">
        <v>0.3175</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42542</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342</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98384.44</v>
      </c>
      <c r="E32" s="289"/>
      <c r="F32" s="290">
        <f>F31*F38</f>
        <v>105000</v>
      </c>
      <c r="G32" s="290"/>
      <c r="H32" s="295">
        <f>H31*H38</f>
        <v>222000</v>
      </c>
      <c r="I32" s="290"/>
      <c r="J32" s="290">
        <f>J31*J38</f>
        <v>25098.232400000001</v>
      </c>
      <c r="K32" s="290"/>
      <c r="L32" s="295">
        <f>L31*L38</f>
        <v>15787.5978</v>
      </c>
      <c r="M32" s="290"/>
      <c r="N32" s="296">
        <f>N31*N38</f>
        <v>41695.450600000004</v>
      </c>
      <c r="O32" s="290"/>
      <c r="P32" s="295">
        <f>P31*P38</f>
        <v>22264.561000000002</v>
      </c>
      <c r="Q32" s="290"/>
      <c r="R32" s="290"/>
      <c r="S32" s="291"/>
      <c r="T32" s="290"/>
      <c r="U32" s="292"/>
      <c r="V32" s="5"/>
    </row>
    <row r="33" spans="1:22" x14ac:dyDescent="0.35">
      <c r="A33" s="278"/>
      <c r="B33" s="286" t="s">
        <v>141</v>
      </c>
      <c r="C33" s="289"/>
      <c r="D33" s="299">
        <f>D37*D31</f>
        <v>85927.6</v>
      </c>
      <c r="E33" s="293"/>
      <c r="F33" s="297">
        <f>F37*F31</f>
        <v>105000</v>
      </c>
      <c r="G33" s="297"/>
      <c r="H33" s="300">
        <f>H31*H37</f>
        <v>222000</v>
      </c>
      <c r="I33" s="297"/>
      <c r="J33" s="297">
        <f>J31*J37</f>
        <v>24522.302</v>
      </c>
      <c r="K33" s="297"/>
      <c r="L33" s="300">
        <f>L31*L37</f>
        <v>15425.319000000001</v>
      </c>
      <c r="M33" s="297"/>
      <c r="N33" s="297">
        <f>N31*N37</f>
        <v>40738.663</v>
      </c>
      <c r="O33" s="297"/>
      <c r="P33" s="300">
        <f>P31*P37</f>
        <v>21753.654999999999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56445.478678400003</v>
      </c>
      <c r="E35" s="289"/>
      <c r="F35" s="290">
        <f>F34*F38</f>
        <v>105000</v>
      </c>
      <c r="G35" s="290"/>
      <c r="H35" s="290">
        <f>H34*H38</f>
        <v>150000</v>
      </c>
      <c r="I35" s="290"/>
      <c r="J35" s="290">
        <f>J32</f>
        <v>25098.232400000001</v>
      </c>
      <c r="K35" s="290"/>
      <c r="L35" s="290">
        <f>L34*L38</f>
        <v>10667.5583904</v>
      </c>
      <c r="M35" s="290"/>
      <c r="N35" s="290">
        <f>N32</f>
        <v>41695.450600000004</v>
      </c>
      <c r="O35" s="290"/>
      <c r="P35" s="290">
        <f>P34*P38</f>
        <v>15043.556652400001</v>
      </c>
      <c r="Q35" s="290"/>
      <c r="R35" s="290"/>
      <c r="S35" s="291"/>
      <c r="T35" s="290">
        <f>SUM(C35:P35)</f>
        <v>403950.27672119997</v>
      </c>
      <c r="U35" s="292"/>
      <c r="V35" s="5"/>
    </row>
    <row r="36" spans="1:22" x14ac:dyDescent="0.35">
      <c r="A36" s="283"/>
      <c r="B36" s="286" t="s">
        <v>298</v>
      </c>
      <c r="C36" s="293"/>
      <c r="D36" s="297">
        <f>D37*D34</f>
        <v>49298.695136000002</v>
      </c>
      <c r="E36" s="293"/>
      <c r="F36" s="297">
        <f>F37*F34</f>
        <v>105000</v>
      </c>
      <c r="G36" s="297"/>
      <c r="H36" s="297">
        <f>H37*H34</f>
        <v>150000</v>
      </c>
      <c r="I36" s="297"/>
      <c r="J36" s="297">
        <f>J37*J34</f>
        <v>24522.302</v>
      </c>
      <c r="K36" s="297"/>
      <c r="L36" s="297">
        <f>L37*L34</f>
        <v>10422.769392</v>
      </c>
      <c r="M36" s="297"/>
      <c r="N36" s="297">
        <f>N37*N34</f>
        <v>40738.663</v>
      </c>
      <c r="O36" s="297"/>
      <c r="P36" s="297">
        <f>P34*P37</f>
        <v>14698.351402</v>
      </c>
      <c r="Q36" s="322"/>
      <c r="R36" s="322"/>
      <c r="S36" s="291"/>
      <c r="T36" s="297">
        <f>SUM(C36:P36)</f>
        <v>394680.78093000001</v>
      </c>
      <c r="U36" s="292"/>
      <c r="V36" s="5"/>
    </row>
    <row r="37" spans="1:22" x14ac:dyDescent="0.35">
      <c r="A37" s="305"/>
      <c r="B37" s="306" t="s">
        <v>137</v>
      </c>
      <c r="C37" s="307"/>
      <c r="D37" s="308">
        <v>7.8116000000000005E-2</v>
      </c>
      <c r="E37" s="309"/>
      <c r="F37" s="308">
        <v>1</v>
      </c>
      <c r="G37" s="308"/>
      <c r="H37" s="308">
        <v>1</v>
      </c>
      <c r="I37" s="308"/>
      <c r="J37" s="308">
        <v>0.79104200000000002</v>
      </c>
      <c r="K37" s="308"/>
      <c r="L37" s="308">
        <v>0.79104200000000002</v>
      </c>
      <c r="M37" s="308"/>
      <c r="N37" s="308">
        <v>0.79104200000000002</v>
      </c>
      <c r="O37" s="308"/>
      <c r="P37" s="308">
        <v>0.79104200000000002</v>
      </c>
      <c r="Q37" s="310"/>
      <c r="R37" s="310"/>
      <c r="S37" s="311"/>
      <c r="T37" s="311"/>
      <c r="U37" s="312"/>
      <c r="V37" s="5"/>
    </row>
    <row r="38" spans="1:22" x14ac:dyDescent="0.35">
      <c r="A38" s="305"/>
      <c r="B38" s="306" t="s">
        <v>138</v>
      </c>
      <c r="C38" s="307"/>
      <c r="D38" s="308">
        <v>8.9440400000000003E-2</v>
      </c>
      <c r="E38" s="309"/>
      <c r="F38" s="308">
        <v>1</v>
      </c>
      <c r="G38" s="308"/>
      <c r="H38" s="308">
        <v>1</v>
      </c>
      <c r="I38" s="308"/>
      <c r="J38" s="308">
        <v>0.80962040000000002</v>
      </c>
      <c r="K38" s="308"/>
      <c r="L38" s="308">
        <v>0.80962040000000002</v>
      </c>
      <c r="M38" s="308"/>
      <c r="N38" s="308">
        <v>0.80962040000000002</v>
      </c>
      <c r="O38" s="308"/>
      <c r="P38" s="308">
        <v>0.80962040000000002</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5.2445E-3</v>
      </c>
      <c r="E40" s="279"/>
      <c r="F40" s="316">
        <v>9.1125000000000008E-3</v>
      </c>
      <c r="G40" s="315"/>
      <c r="H40" s="316">
        <v>9.5E-4</v>
      </c>
      <c r="I40" s="315"/>
      <c r="J40" s="316">
        <v>1.13125E-2</v>
      </c>
      <c r="K40" s="315"/>
      <c r="L40" s="316">
        <v>3.15E-3</v>
      </c>
      <c r="M40" s="315"/>
      <c r="N40" s="316">
        <v>1.69125E-2</v>
      </c>
      <c r="O40" s="315"/>
      <c r="P40" s="316">
        <v>8.7500000000000008E-3</v>
      </c>
      <c r="Q40" s="315"/>
      <c r="R40" s="316"/>
      <c r="S40" s="281"/>
      <c r="T40" s="287"/>
      <c r="U40" s="282"/>
      <c r="V40" s="5"/>
    </row>
    <row r="41" spans="1:22" x14ac:dyDescent="0.35">
      <c r="A41" s="278"/>
      <c r="B41" s="279" t="s">
        <v>13</v>
      </c>
      <c r="C41" s="279"/>
      <c r="D41" s="316">
        <v>5.2050000000000004E-3</v>
      </c>
      <c r="E41" s="279"/>
      <c r="F41" s="316">
        <v>9.0337999999999998E-3</v>
      </c>
      <c r="G41" s="315"/>
      <c r="H41" s="316">
        <v>1.92E-3</v>
      </c>
      <c r="I41" s="315"/>
      <c r="J41" s="316">
        <v>1.12338E-2</v>
      </c>
      <c r="K41" s="315"/>
      <c r="L41" s="316">
        <v>4.1200000000000004E-3</v>
      </c>
      <c r="M41" s="315"/>
      <c r="N41" s="316">
        <v>1.6833799999999999E-2</v>
      </c>
      <c r="O41" s="315"/>
      <c r="P41" s="316">
        <v>9.7199999999999995E-3</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7.0680999999999999E-3</v>
      </c>
      <c r="E43" s="279"/>
      <c r="F43" s="316">
        <f>+F40</f>
        <v>9.1125000000000008E-3</v>
      </c>
      <c r="G43" s="315"/>
      <c r="H43" s="316">
        <v>9.5624999999999998E-3</v>
      </c>
      <c r="I43" s="315"/>
      <c r="J43" s="316">
        <f>+J40</f>
        <v>1.13125E-2</v>
      </c>
      <c r="K43" s="315"/>
      <c r="L43" s="316">
        <v>1.2042499999999999E-2</v>
      </c>
      <c r="M43" s="315"/>
      <c r="N43" s="316">
        <f>+N40</f>
        <v>1.69125E-2</v>
      </c>
      <c r="O43" s="315"/>
      <c r="P43" s="316">
        <v>1.8142499999999999E-2</v>
      </c>
      <c r="Q43" s="287"/>
      <c r="R43" s="287"/>
      <c r="S43" s="281"/>
      <c r="T43" s="315">
        <f>SUMPRODUCT(D43:P43,D35:P35)/T35</f>
        <v>1.0349391718605678E-2</v>
      </c>
      <c r="U43" s="282"/>
      <c r="V43" s="5"/>
    </row>
    <row r="44" spans="1:22" x14ac:dyDescent="0.35">
      <c r="A44" s="278"/>
      <c r="B44" s="279" t="s">
        <v>301</v>
      </c>
      <c r="C44" s="317"/>
      <c r="D44" s="316">
        <v>6.9893999999999998E-3</v>
      </c>
      <c r="E44" s="279"/>
      <c r="F44" s="316">
        <f>+F41</f>
        <v>9.0337999999999998E-3</v>
      </c>
      <c r="G44" s="315"/>
      <c r="H44" s="316">
        <v>9.4838000000000006E-3</v>
      </c>
      <c r="I44" s="315"/>
      <c r="J44" s="316">
        <f>+J41</f>
        <v>1.12338E-2</v>
      </c>
      <c r="K44" s="315"/>
      <c r="L44" s="316">
        <v>1.19638E-2</v>
      </c>
      <c r="M44" s="315"/>
      <c r="N44" s="316">
        <f>+N41</f>
        <v>1.6833799999999999E-2</v>
      </c>
      <c r="O44" s="315"/>
      <c r="P44" s="316">
        <v>1.8063800000000001E-2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0.29701765810597908</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42536</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91</v>
      </c>
      <c r="Q57" s="279"/>
      <c r="R57" s="327">
        <v>42353</v>
      </c>
      <c r="S57" s="328"/>
      <c r="T57" s="327">
        <v>42443</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42444</v>
      </c>
      <c r="S58" s="328"/>
      <c r="T58" s="327">
        <v>42535</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42522</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345</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403950</v>
      </c>
      <c r="M68" s="332"/>
      <c r="N68" s="332">
        <f>9269+10</f>
        <v>9279</v>
      </c>
      <c r="O68" s="332"/>
      <c r="P68" s="332">
        <v>10</v>
      </c>
      <c r="Q68" s="332"/>
      <c r="R68" s="332">
        <v>0</v>
      </c>
      <c r="S68" s="332"/>
      <c r="T68" s="333">
        <f>+L68-N68+P68-R68</f>
        <v>394681</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403950</v>
      </c>
      <c r="M71" s="332"/>
      <c r="N71" s="332">
        <f>SUM(N68:N70)</f>
        <v>9279</v>
      </c>
      <c r="O71" s="332"/>
      <c r="P71" s="332">
        <f>SUM(P68:P70)</f>
        <v>10</v>
      </c>
      <c r="Q71" s="332"/>
      <c r="R71" s="332">
        <f>SUM(R68:R70)</f>
        <v>0</v>
      </c>
      <c r="S71" s="332"/>
      <c r="T71" s="332">
        <f>SUM(T68:T70)</f>
        <v>394681</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403950</v>
      </c>
      <c r="M84" s="332"/>
      <c r="N84" s="332"/>
      <c r="O84" s="332"/>
      <c r="P84" s="332"/>
      <c r="Q84" s="332"/>
      <c r="R84" s="332"/>
      <c r="S84" s="332"/>
      <c r="T84" s="332">
        <f>SUM(T71:T83)</f>
        <v>394681</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42521</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9279-306</f>
        <v>8973</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1967+1092-476-339</f>
        <v>2244</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74+68</f>
        <v>142</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32</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137</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8973</v>
      </c>
      <c r="S96" s="279"/>
      <c r="T96" s="332">
        <f>SUM(T88:T95)</f>
        <v>2555</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-17</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8973</v>
      </c>
      <c r="S100" s="279"/>
      <c r="T100" s="332">
        <f>T96+T98+T97+T99</f>
        <v>2538</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-156-123-6</f>
        <v>-285</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-704+241</f>
        <v>-463</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-241</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-32</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-72</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-69</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-178</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306</v>
      </c>
      <c r="S115" s="279"/>
      <c r="T115" s="333">
        <v>-306</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-156</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-727</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-10</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-7146</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-576</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-245</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-957</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-345</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-9279</v>
      </c>
      <c r="S132" s="332"/>
      <c r="T132" s="332">
        <f>SUM(T101:T130)</f>
        <v>-2538</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MAY 2016</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306</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306</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-306</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f>-T99</f>
        <v>17</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394681</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394681</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+'Feb 16'!Q183</f>
        <v>45402</v>
      </c>
      <c r="R181" s="333">
        <f>+'Feb 16'!R183</f>
        <v>5995</v>
      </c>
      <c r="S181" s="279"/>
      <c r="T181" s="333">
        <f>Q181+R181</f>
        <v>51397</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10</v>
      </c>
      <c r="R182" s="332">
        <v>0</v>
      </c>
      <c r="S182" s="279"/>
      <c r="T182" s="333">
        <f>Q182+R182</f>
        <v>10</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45412</v>
      </c>
      <c r="R183" s="333">
        <f>R182+R181</f>
        <v>5995</v>
      </c>
      <c r="S183" s="279"/>
      <c r="T183" s="333">
        <f>Q183+R183</f>
        <v>51407</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108649.48000000001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3.1974431818181817</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1.73</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14.875</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9.25</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5.8421052631578947</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4.49</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MAY 2016</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42521</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2.2839999999999999E-2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1.0349391718605678E-2</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1.2490608281394321E-2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6.2829558113627927E-3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11.58</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2.2970664686223542E-2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8.9700000000000002E-2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79</v>
      </c>
      <c r="R217" s="358">
        <f>+R269</f>
        <v>13139</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306</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'Feb 16'!R223+R222</f>
        <v>6478</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9</v>
      </c>
      <c r="R229" s="358">
        <v>1273</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2.63</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2941</v>
      </c>
      <c r="Q236" s="378">
        <f t="shared" ref="Q236:Q243" si="2">P236/$P$245</f>
        <v>0.99559918754231547</v>
      </c>
      <c r="R236" s="237">
        <f t="shared" ref="R236:R243" si="3">+R248+R260+R272</f>
        <v>393481</v>
      </c>
      <c r="S236" s="378">
        <f t="shared" ref="S236:S243" si="4">R236/$R$245</f>
        <v>0.99695956988048573</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8</v>
      </c>
      <c r="Q237" s="378">
        <f t="shared" si="2"/>
        <v>2.7081922816519972E-3</v>
      </c>
      <c r="R237" s="333">
        <f t="shared" si="3"/>
        <v>453</v>
      </c>
      <c r="S237" s="378">
        <f t="shared" si="4"/>
        <v>1.1477623701166258E-3</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1</v>
      </c>
      <c r="Q238" s="378">
        <f t="shared" si="2"/>
        <v>3.3852403520649965E-4</v>
      </c>
      <c r="R238" s="333">
        <f t="shared" si="3"/>
        <v>97</v>
      </c>
      <c r="S238" s="378">
        <f t="shared" si="4"/>
        <v>2.4576810132740111E-4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6.770480704129993E-4</v>
      </c>
      <c r="R240" s="333">
        <f t="shared" si="3"/>
        <v>381</v>
      </c>
      <c r="S240" s="378">
        <f t="shared" si="4"/>
        <v>9.6533656294577139E-4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1</v>
      </c>
      <c r="Q241" s="378">
        <f t="shared" si="2"/>
        <v>3.3852403520649965E-4</v>
      </c>
      <c r="R241" s="333">
        <f t="shared" si="3"/>
        <v>133</v>
      </c>
      <c r="S241" s="378">
        <f t="shared" si="4"/>
        <v>3.3698100491282831E-4</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3.3852403520649965E-4</v>
      </c>
      <c r="R242" s="333">
        <f t="shared" si="3"/>
        <v>136</v>
      </c>
      <c r="S242" s="378">
        <f t="shared" si="4"/>
        <v>3.4458208021161395E-4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0</v>
      </c>
      <c r="Q243" s="378">
        <f t="shared" si="2"/>
        <v>0</v>
      </c>
      <c r="R243" s="333">
        <f t="shared" si="3"/>
        <v>0</v>
      </c>
      <c r="S243" s="383">
        <f t="shared" si="4"/>
        <v>0</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2954</v>
      </c>
      <c r="Q245" s="378">
        <f>SUM(Q236:Q244)</f>
        <v>1</v>
      </c>
      <c r="R245" s="333">
        <f>SUM(R236:R244)</f>
        <v>394681</v>
      </c>
      <c r="S245" s="378">
        <f>SUM(S236:S244)</f>
        <v>0.99999999999999989</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2866</v>
      </c>
      <c r="Q248" s="244">
        <f t="shared" ref="Q248:Q255" si="5">P248/$P$257</f>
        <v>0.99686956521739134</v>
      </c>
      <c r="R248" s="237">
        <v>380837</v>
      </c>
      <c r="S248" s="244">
        <f t="shared" ref="S248:S255" si="6">R248/$R$257</f>
        <v>0.99815223487846683</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7</v>
      </c>
      <c r="Q249" s="378">
        <f t="shared" si="5"/>
        <v>2.434782608695652E-3</v>
      </c>
      <c r="R249" s="333">
        <v>357</v>
      </c>
      <c r="S249" s="378">
        <f t="shared" si="6"/>
        <v>9.3567680622316806E-4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1</v>
      </c>
      <c r="Q250" s="378">
        <f t="shared" si="5"/>
        <v>3.4782608695652176E-4</v>
      </c>
      <c r="R250" s="333">
        <v>97</v>
      </c>
      <c r="S250" s="378">
        <f t="shared" si="6"/>
        <v>2.5423151317548263E-4</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1</v>
      </c>
      <c r="Q252" s="378">
        <f t="shared" si="5"/>
        <v>3.4782608695652176E-4</v>
      </c>
      <c r="R252" s="333">
        <v>251</v>
      </c>
      <c r="S252" s="378">
        <f t="shared" si="6"/>
        <v>6.5785680213449637E-4</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2875</v>
      </c>
      <c r="Q257" s="378">
        <f>SUM(Q248:Q256)</f>
        <v>1</v>
      </c>
      <c r="R257" s="333">
        <f>SUM(R248:R256)</f>
        <v>381542</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75</v>
      </c>
      <c r="Q260" s="244">
        <f t="shared" ref="Q260:Q267" si="7">P260/$P$269</f>
        <v>0.94936708860759489</v>
      </c>
      <c r="R260" s="237">
        <v>12644</v>
      </c>
      <c r="S260" s="244">
        <f t="shared" ref="S260:S267" si="8">R260/$R$269</f>
        <v>0.96232589999238904</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1.2658227848101266E-2</v>
      </c>
      <c r="R261" s="333">
        <v>96</v>
      </c>
      <c r="S261" s="378">
        <f t="shared" si="8"/>
        <v>7.3064921226881803E-3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1</v>
      </c>
      <c r="Q264" s="378">
        <f t="shared" si="7"/>
        <v>1.2658227848101266E-2</v>
      </c>
      <c r="R264" s="333">
        <v>130</v>
      </c>
      <c r="S264" s="378">
        <f t="shared" si="8"/>
        <v>9.8942080828069105E-3</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1</v>
      </c>
      <c r="Q265" s="378">
        <f t="shared" si="7"/>
        <v>1.2658227848101266E-2</v>
      </c>
      <c r="R265" s="333">
        <v>133</v>
      </c>
      <c r="S265" s="378">
        <f t="shared" si="8"/>
        <v>1.0122535961640916E-2</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1.2658227848101266E-2</v>
      </c>
      <c r="R266" s="333">
        <v>136</v>
      </c>
      <c r="S266" s="378">
        <f t="shared" si="8"/>
        <v>1.0350863840474922E-2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0</v>
      </c>
      <c r="Q267" s="378">
        <f t="shared" si="7"/>
        <v>0</v>
      </c>
      <c r="R267" s="333">
        <v>0</v>
      </c>
      <c r="S267" s="378">
        <f t="shared" si="8"/>
        <v>0</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79</v>
      </c>
      <c r="Q269" s="378">
        <f>SUM(Q260:Q268)</f>
        <v>0.99999999999999978</v>
      </c>
      <c r="R269" s="333">
        <f>SUM(R260:R268)</f>
        <v>13139</v>
      </c>
      <c r="S269" s="378">
        <f>SUM(S260:S268)</f>
        <v>1</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2954</v>
      </c>
      <c r="Q283" s="378"/>
      <c r="R283" s="382">
        <f>+R281+R269+R257</f>
        <v>394681</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MAY 2016</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900-000000000000}"/>
    <hyperlink ref="N233" r:id="rId2" xr:uid="{00000000-0004-0000-2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2D2926"/>
  </sheetPr>
  <dimension ref="A1:W294"/>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183"/>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0.68369999999999997</v>
      </c>
      <c r="R16" s="222" t="s">
        <v>147</v>
      </c>
      <c r="S16" s="221">
        <v>0.31630000000000003</v>
      </c>
      <c r="T16" s="184"/>
      <c r="U16" s="183"/>
      <c r="V16" s="5"/>
    </row>
    <row r="17" spans="1:22" x14ac:dyDescent="0.35">
      <c r="A17" s="174"/>
      <c r="B17" s="216" t="s">
        <v>4</v>
      </c>
      <c r="C17" s="183"/>
      <c r="D17" s="183"/>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183"/>
      <c r="E18" s="183"/>
      <c r="F18" s="183"/>
      <c r="G18" s="183"/>
      <c r="H18" s="183"/>
      <c r="I18" s="183"/>
      <c r="J18" s="183"/>
      <c r="K18" s="183"/>
      <c r="L18" s="183"/>
      <c r="M18" s="183"/>
      <c r="N18" s="183"/>
      <c r="O18" s="183"/>
      <c r="P18" s="183"/>
      <c r="Q18" s="183"/>
      <c r="R18" s="183"/>
      <c r="S18" s="183"/>
      <c r="T18" s="218">
        <v>42633</v>
      </c>
      <c r="U18" s="183"/>
      <c r="V18" s="5"/>
    </row>
    <row r="19" spans="1:22" x14ac:dyDescent="0.35">
      <c r="A19" s="174"/>
      <c r="B19" s="176"/>
      <c r="C19" s="176"/>
      <c r="D19" s="176"/>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256</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342</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4">
        <f>D31*D38</f>
        <v>85927.6</v>
      </c>
      <c r="E32" s="289"/>
      <c r="F32" s="290">
        <f>F31*F38</f>
        <v>105000</v>
      </c>
      <c r="G32" s="290"/>
      <c r="H32" s="295">
        <f>H31*H38</f>
        <v>222000</v>
      </c>
      <c r="I32" s="290"/>
      <c r="J32" s="290">
        <f>J31*J38</f>
        <v>24522.302</v>
      </c>
      <c r="K32" s="290"/>
      <c r="L32" s="295">
        <f>L31*L38</f>
        <v>15425.319000000001</v>
      </c>
      <c r="M32" s="290"/>
      <c r="N32" s="296">
        <f>N31*N38</f>
        <v>40738.663</v>
      </c>
      <c r="O32" s="290"/>
      <c r="P32" s="295">
        <f>P31*P38</f>
        <v>21753.654999999999</v>
      </c>
      <c r="Q32" s="290"/>
      <c r="R32" s="290"/>
      <c r="S32" s="291"/>
      <c r="T32" s="290"/>
      <c r="U32" s="292"/>
      <c r="V32" s="5"/>
    </row>
    <row r="33" spans="1:22" x14ac:dyDescent="0.35">
      <c r="A33" s="278"/>
      <c r="B33" s="286" t="s">
        <v>141</v>
      </c>
      <c r="C33" s="289"/>
      <c r="D33" s="299">
        <f>D37*D31</f>
        <v>78655.39</v>
      </c>
      <c r="E33" s="293"/>
      <c r="F33" s="297">
        <f>F37*F31</f>
        <v>105000</v>
      </c>
      <c r="G33" s="297"/>
      <c r="H33" s="300">
        <f>H31*H37</f>
        <v>222000</v>
      </c>
      <c r="I33" s="297"/>
      <c r="J33" s="297">
        <f>J31*J37</f>
        <v>24186.076000000001</v>
      </c>
      <c r="K33" s="297"/>
      <c r="L33" s="300">
        <f>L31*L37</f>
        <v>15213.822</v>
      </c>
      <c r="M33" s="297"/>
      <c r="N33" s="297">
        <f>N31*N37</f>
        <v>40180.093999999997</v>
      </c>
      <c r="O33" s="297"/>
      <c r="P33" s="300">
        <f>P31*P37</f>
        <v>21455.39</v>
      </c>
      <c r="Q33" s="290"/>
      <c r="R33" s="290"/>
      <c r="S33" s="291"/>
      <c r="T33" s="290"/>
      <c r="U33" s="292"/>
      <c r="V33" s="5"/>
    </row>
    <row r="34" spans="1:22"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row>
    <row r="35" spans="1:22" x14ac:dyDescent="0.35">
      <c r="A35" s="283"/>
      <c r="B35" s="279" t="s">
        <v>297</v>
      </c>
      <c r="C35" s="293"/>
      <c r="D35" s="290">
        <f>D34*D38</f>
        <v>49298.695136000002</v>
      </c>
      <c r="E35" s="289"/>
      <c r="F35" s="290">
        <f>F34*F38</f>
        <v>105000</v>
      </c>
      <c r="G35" s="290"/>
      <c r="H35" s="290">
        <f>H34*H38</f>
        <v>150000</v>
      </c>
      <c r="I35" s="290"/>
      <c r="J35" s="290">
        <f>J32</f>
        <v>24522.302</v>
      </c>
      <c r="K35" s="290"/>
      <c r="L35" s="290">
        <f>L34*L38</f>
        <v>10422.769392</v>
      </c>
      <c r="M35" s="290"/>
      <c r="N35" s="290">
        <f>N32</f>
        <v>40738.663</v>
      </c>
      <c r="O35" s="290"/>
      <c r="P35" s="290">
        <f>P34*P38</f>
        <v>14698.351402</v>
      </c>
      <c r="Q35" s="290"/>
      <c r="R35" s="290"/>
      <c r="S35" s="291"/>
      <c r="T35" s="290">
        <f>SUM(C35:P35)</f>
        <v>394680.78093000001</v>
      </c>
      <c r="U35" s="292"/>
      <c r="V35" s="5"/>
    </row>
    <row r="36" spans="1:22" x14ac:dyDescent="0.35">
      <c r="A36" s="283"/>
      <c r="B36" s="286" t="s">
        <v>298</v>
      </c>
      <c r="C36" s="293"/>
      <c r="D36" s="297">
        <f>D37*D34</f>
        <v>45126.456370399996</v>
      </c>
      <c r="E36" s="293"/>
      <c r="F36" s="297">
        <f>F37*F34</f>
        <v>105000</v>
      </c>
      <c r="G36" s="297"/>
      <c r="H36" s="297">
        <f>H37*H34</f>
        <v>150000</v>
      </c>
      <c r="I36" s="297"/>
      <c r="J36" s="297">
        <f>J37*J34</f>
        <v>24186.076000000001</v>
      </c>
      <c r="K36" s="297"/>
      <c r="L36" s="297">
        <f>L37*L34</f>
        <v>10279.862496</v>
      </c>
      <c r="M36" s="297"/>
      <c r="N36" s="297">
        <f>N37*N34</f>
        <v>40180.093999999997</v>
      </c>
      <c r="O36" s="297"/>
      <c r="P36" s="297">
        <f>P34*P37</f>
        <v>14496.821876</v>
      </c>
      <c r="Q36" s="322"/>
      <c r="R36" s="322"/>
      <c r="S36" s="291"/>
      <c r="T36" s="297">
        <f>SUM(C36:P36)</f>
        <v>389269.3107424</v>
      </c>
      <c r="U36" s="292"/>
      <c r="V36" s="5"/>
    </row>
    <row r="37" spans="1:22" x14ac:dyDescent="0.35">
      <c r="A37" s="305"/>
      <c r="B37" s="306" t="s">
        <v>137</v>
      </c>
      <c r="C37" s="307"/>
      <c r="D37" s="308">
        <v>7.1504899999999996E-2</v>
      </c>
      <c r="E37" s="309"/>
      <c r="F37" s="308">
        <v>1</v>
      </c>
      <c r="G37" s="308"/>
      <c r="H37" s="308">
        <v>1</v>
      </c>
      <c r="I37" s="308"/>
      <c r="J37" s="308">
        <v>0.780196</v>
      </c>
      <c r="K37" s="308"/>
      <c r="L37" s="308">
        <v>0.780196</v>
      </c>
      <c r="M37" s="308"/>
      <c r="N37" s="308">
        <v>0.780196</v>
      </c>
      <c r="O37" s="308"/>
      <c r="P37" s="308">
        <v>0.780196</v>
      </c>
      <c r="Q37" s="310"/>
      <c r="R37" s="310"/>
      <c r="S37" s="311"/>
      <c r="T37" s="311"/>
      <c r="U37" s="312"/>
      <c r="V37" s="5"/>
    </row>
    <row r="38" spans="1:22" x14ac:dyDescent="0.35">
      <c r="A38" s="305"/>
      <c r="B38" s="306" t="s">
        <v>138</v>
      </c>
      <c r="C38" s="307"/>
      <c r="D38" s="308">
        <v>7.8116000000000005E-2</v>
      </c>
      <c r="E38" s="309"/>
      <c r="F38" s="308">
        <v>1</v>
      </c>
      <c r="G38" s="308"/>
      <c r="H38" s="308">
        <v>1</v>
      </c>
      <c r="I38" s="308"/>
      <c r="J38" s="308">
        <v>0.79104200000000002</v>
      </c>
      <c r="K38" s="308"/>
      <c r="L38" s="308">
        <v>0.79104200000000002</v>
      </c>
      <c r="M38" s="308"/>
      <c r="N38" s="308">
        <v>0.79104200000000002</v>
      </c>
      <c r="O38" s="308"/>
      <c r="P38" s="308">
        <v>0.79104200000000002</v>
      </c>
      <c r="Q38" s="313"/>
      <c r="R38" s="314"/>
      <c r="S38" s="311"/>
      <c r="T38" s="313"/>
      <c r="U38" s="312"/>
      <c r="V38" s="5"/>
    </row>
    <row r="39" spans="1:22"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2" x14ac:dyDescent="0.35">
      <c r="A40" s="278"/>
      <c r="B40" s="279" t="s">
        <v>12</v>
      </c>
      <c r="C40" s="279"/>
      <c r="D40" s="316">
        <v>5.9765E-3</v>
      </c>
      <c r="E40" s="279"/>
      <c r="F40" s="316">
        <v>8.9187999999999993E-3</v>
      </c>
      <c r="G40" s="315"/>
      <c r="H40" s="316">
        <v>5.6999999999999998E-4</v>
      </c>
      <c r="I40" s="315"/>
      <c r="J40" s="316">
        <v>1.11188E-2</v>
      </c>
      <c r="K40" s="315"/>
      <c r="L40" s="316">
        <v>2.7699999999999999E-3</v>
      </c>
      <c r="M40" s="315"/>
      <c r="N40" s="316">
        <v>1.6718799999999999E-2</v>
      </c>
      <c r="O40" s="315"/>
      <c r="P40" s="316">
        <v>8.3700000000000007E-3</v>
      </c>
      <c r="Q40" s="315"/>
      <c r="R40" s="316"/>
      <c r="S40" s="281"/>
      <c r="T40" s="287"/>
      <c r="U40" s="282"/>
      <c r="V40" s="5"/>
    </row>
    <row r="41" spans="1:22" x14ac:dyDescent="0.35">
      <c r="A41" s="278"/>
      <c r="B41" s="279" t="s">
        <v>13</v>
      </c>
      <c r="C41" s="279"/>
      <c r="D41" s="316">
        <v>5.2445E-3</v>
      </c>
      <c r="E41" s="279"/>
      <c r="F41" s="316">
        <v>9.1125000000000008E-3</v>
      </c>
      <c r="G41" s="315"/>
      <c r="H41" s="316">
        <v>9.5E-4</v>
      </c>
      <c r="I41" s="315"/>
      <c r="J41" s="316">
        <v>1.13125E-2</v>
      </c>
      <c r="K41" s="315"/>
      <c r="L41" s="316">
        <v>3.15E-3</v>
      </c>
      <c r="M41" s="315"/>
      <c r="N41" s="316">
        <v>1.69125E-2</v>
      </c>
      <c r="O41" s="315"/>
      <c r="P41" s="316">
        <v>8.7500000000000008E-3</v>
      </c>
      <c r="Q41" s="315"/>
      <c r="R41" s="316"/>
      <c r="S41" s="281"/>
      <c r="T41" s="315" t="s">
        <v>226</v>
      </c>
      <c r="U41" s="282"/>
      <c r="V41" s="5"/>
    </row>
    <row r="42" spans="1:22" x14ac:dyDescent="0.35">
      <c r="A42" s="278"/>
      <c r="B42" s="279" t="s">
        <v>299</v>
      </c>
      <c r="C42" s="279"/>
      <c r="D42" s="287" t="s">
        <v>284</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2" x14ac:dyDescent="0.35">
      <c r="A43" s="278"/>
      <c r="B43" s="279" t="s">
        <v>300</v>
      </c>
      <c r="C43" s="317"/>
      <c r="D43" s="316">
        <v>6.8744000000000001E-3</v>
      </c>
      <c r="E43" s="279"/>
      <c r="F43" s="316">
        <f>+F40</f>
        <v>8.9187999999999993E-3</v>
      </c>
      <c r="G43" s="315"/>
      <c r="H43" s="316">
        <v>9.3688E-3</v>
      </c>
      <c r="I43" s="315"/>
      <c r="J43" s="316">
        <f>+J40</f>
        <v>1.11188E-2</v>
      </c>
      <c r="K43" s="315"/>
      <c r="L43" s="316">
        <v>1.18488E-2</v>
      </c>
      <c r="M43" s="315"/>
      <c r="N43" s="316">
        <f>+N40</f>
        <v>1.6718799999999999E-2</v>
      </c>
      <c r="O43" s="315"/>
      <c r="P43" s="316">
        <v>1.7948800000000001E-2</v>
      </c>
      <c r="Q43" s="287"/>
      <c r="R43" s="287"/>
      <c r="S43" s="281"/>
      <c r="T43" s="315">
        <f>SUMPRODUCT(D43:P43,D35:P35)/T35</f>
        <v>1.0189926528533854E-2</v>
      </c>
      <c r="U43" s="282"/>
      <c r="V43" s="5"/>
    </row>
    <row r="44" spans="1:22" x14ac:dyDescent="0.35">
      <c r="A44" s="278"/>
      <c r="B44" s="279" t="s">
        <v>301</v>
      </c>
      <c r="C44" s="317"/>
      <c r="D44" s="316">
        <v>7.0680999999999999E-3</v>
      </c>
      <c r="E44" s="279"/>
      <c r="F44" s="316">
        <f>+F41</f>
        <v>9.1125000000000008E-3</v>
      </c>
      <c r="G44" s="315"/>
      <c r="H44" s="316">
        <v>9.5624999999999998E-3</v>
      </c>
      <c r="I44" s="315"/>
      <c r="J44" s="316">
        <f>+J41</f>
        <v>1.13125E-2</v>
      </c>
      <c r="K44" s="315"/>
      <c r="L44" s="316">
        <v>1.2042499999999999E-2</v>
      </c>
      <c r="M44" s="315"/>
      <c r="N44" s="316">
        <f>+N41</f>
        <v>1.69125E-2</v>
      </c>
      <c r="O44" s="315"/>
      <c r="P44" s="316">
        <v>1.8142499999999999E-2</v>
      </c>
      <c r="Q44" s="287"/>
      <c r="R44" s="287"/>
      <c r="S44" s="281"/>
      <c r="T44" s="281"/>
      <c r="U44" s="282"/>
      <c r="V44" s="5"/>
    </row>
    <row r="45" spans="1:22"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2"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2"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2" x14ac:dyDescent="0.35">
      <c r="A48" s="278"/>
      <c r="B48" s="279" t="s">
        <v>302</v>
      </c>
      <c r="C48" s="279"/>
      <c r="D48" s="287" t="s">
        <v>238</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0.29701764866068542</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243</v>
      </c>
      <c r="C54" s="279"/>
      <c r="D54" s="279"/>
      <c r="E54" s="279"/>
      <c r="F54" s="279"/>
      <c r="G54" s="279"/>
      <c r="H54" s="279"/>
      <c r="I54" s="279"/>
      <c r="J54" s="279"/>
      <c r="K54" s="279"/>
      <c r="L54" s="279"/>
      <c r="M54" s="279"/>
      <c r="N54" s="279"/>
      <c r="O54" s="279"/>
      <c r="P54" s="279"/>
      <c r="Q54" s="279"/>
      <c r="R54" s="279"/>
      <c r="S54" s="279"/>
      <c r="T54" s="322" t="s">
        <v>244</v>
      </c>
      <c r="U54" s="282"/>
      <c r="V54" s="5"/>
    </row>
    <row r="55" spans="1:23" x14ac:dyDescent="0.35">
      <c r="A55" s="278"/>
      <c r="B55" s="279" t="s">
        <v>245</v>
      </c>
      <c r="C55" s="279"/>
      <c r="D55" s="279"/>
      <c r="E55" s="279"/>
      <c r="F55" s="279"/>
      <c r="G55" s="279"/>
      <c r="H55" s="279"/>
      <c r="I55" s="279"/>
      <c r="J55" s="279"/>
      <c r="K55" s="279"/>
      <c r="L55" s="279"/>
      <c r="M55" s="279"/>
      <c r="N55" s="279"/>
      <c r="O55" s="279"/>
      <c r="P55" s="279"/>
      <c r="Q55" s="279"/>
      <c r="R55" s="287"/>
      <c r="S55" s="287"/>
      <c r="T55" s="323" t="s">
        <v>118</v>
      </c>
      <c r="U55" s="282"/>
      <c r="V55" s="5"/>
    </row>
    <row r="56" spans="1:23" x14ac:dyDescent="0.35">
      <c r="A56" s="278"/>
      <c r="B56" s="286" t="s">
        <v>242</v>
      </c>
      <c r="C56" s="286"/>
      <c r="D56" s="286"/>
      <c r="E56" s="286"/>
      <c r="F56" s="286"/>
      <c r="G56" s="286"/>
      <c r="H56" s="286"/>
      <c r="I56" s="286"/>
      <c r="J56" s="286"/>
      <c r="K56" s="286"/>
      <c r="L56" s="286"/>
      <c r="M56" s="286"/>
      <c r="N56" s="286"/>
      <c r="O56" s="286"/>
      <c r="P56" s="286"/>
      <c r="Q56" s="286"/>
      <c r="R56" s="324"/>
      <c r="S56" s="324"/>
      <c r="T56" s="325">
        <v>42628</v>
      </c>
      <c r="U56" s="282"/>
      <c r="V56" s="5"/>
    </row>
    <row r="57" spans="1:23" x14ac:dyDescent="0.35">
      <c r="A57" s="278"/>
      <c r="B57" s="279" t="s">
        <v>128</v>
      </c>
      <c r="C57" s="279"/>
      <c r="D57" s="279"/>
      <c r="E57" s="279"/>
      <c r="F57" s="279"/>
      <c r="G57" s="279"/>
      <c r="H57" s="326"/>
      <c r="I57" s="326"/>
      <c r="J57" s="326"/>
      <c r="K57" s="326"/>
      <c r="L57" s="326"/>
      <c r="M57" s="326"/>
      <c r="N57" s="326"/>
      <c r="O57" s="326"/>
      <c r="P57" s="279">
        <f>+T57-R57+1</f>
        <v>92</v>
      </c>
      <c r="Q57" s="279"/>
      <c r="R57" s="327">
        <v>42444</v>
      </c>
      <c r="S57" s="328"/>
      <c r="T57" s="327">
        <v>42535</v>
      </c>
      <c r="U57" s="282"/>
      <c r="V57" s="5"/>
    </row>
    <row r="58" spans="1:23" x14ac:dyDescent="0.35">
      <c r="A58" s="278"/>
      <c r="B58" s="279" t="s">
        <v>129</v>
      </c>
      <c r="C58" s="279"/>
      <c r="D58" s="279"/>
      <c r="E58" s="279"/>
      <c r="F58" s="279"/>
      <c r="G58" s="279"/>
      <c r="H58" s="279"/>
      <c r="I58" s="279"/>
      <c r="J58" s="279"/>
      <c r="K58" s="279"/>
      <c r="L58" s="279"/>
      <c r="M58" s="279"/>
      <c r="N58" s="279"/>
      <c r="O58" s="279"/>
      <c r="P58" s="279">
        <f>+T58-R58+1</f>
        <v>92</v>
      </c>
      <c r="Q58" s="279"/>
      <c r="R58" s="327">
        <v>42536</v>
      </c>
      <c r="S58" s="328"/>
      <c r="T58" s="327">
        <v>42627</v>
      </c>
      <c r="U58" s="282"/>
      <c r="V58" s="5"/>
    </row>
    <row r="59" spans="1:23" x14ac:dyDescent="0.35">
      <c r="A59" s="278"/>
      <c r="B59" s="279" t="s">
        <v>241</v>
      </c>
      <c r="C59" s="279"/>
      <c r="D59" s="279"/>
      <c r="E59" s="279"/>
      <c r="F59" s="279"/>
      <c r="G59" s="279"/>
      <c r="H59" s="279"/>
      <c r="I59" s="279"/>
      <c r="J59" s="279"/>
      <c r="K59" s="279"/>
      <c r="L59" s="279"/>
      <c r="M59" s="279"/>
      <c r="N59" s="279"/>
      <c r="O59" s="279"/>
      <c r="P59" s="279"/>
      <c r="Q59" s="279"/>
      <c r="R59" s="327"/>
      <c r="S59" s="328"/>
      <c r="T59" s="327" t="s">
        <v>127</v>
      </c>
      <c r="U59" s="282"/>
      <c r="V59" s="5"/>
    </row>
    <row r="60" spans="1:23" x14ac:dyDescent="0.35">
      <c r="A60" s="278"/>
      <c r="B60" s="279" t="s">
        <v>227</v>
      </c>
      <c r="C60" s="279"/>
      <c r="D60" s="279"/>
      <c r="E60" s="279"/>
      <c r="F60" s="279"/>
      <c r="G60" s="279"/>
      <c r="H60" s="279"/>
      <c r="I60" s="279"/>
      <c r="J60" s="279"/>
      <c r="K60" s="279"/>
      <c r="L60" s="279"/>
      <c r="M60" s="279"/>
      <c r="N60" s="279"/>
      <c r="O60" s="279"/>
      <c r="P60" s="279"/>
      <c r="Q60" s="279"/>
      <c r="R60" s="327"/>
      <c r="S60" s="328"/>
      <c r="T60" s="327" t="s">
        <v>162</v>
      </c>
      <c r="U60" s="282"/>
      <c r="V60" s="5"/>
      <c r="W60" s="135"/>
    </row>
    <row r="61" spans="1:23" x14ac:dyDescent="0.35">
      <c r="A61" s="278"/>
      <c r="B61" s="279" t="s">
        <v>16</v>
      </c>
      <c r="C61" s="279"/>
      <c r="D61" s="279"/>
      <c r="E61" s="279"/>
      <c r="F61" s="279"/>
      <c r="G61" s="279"/>
      <c r="H61" s="279"/>
      <c r="I61" s="279"/>
      <c r="J61" s="279"/>
      <c r="K61" s="279"/>
      <c r="L61" s="279"/>
      <c r="M61" s="279"/>
      <c r="N61" s="279"/>
      <c r="O61" s="279"/>
      <c r="P61" s="279"/>
      <c r="Q61" s="279"/>
      <c r="R61" s="327"/>
      <c r="S61" s="328"/>
      <c r="T61" s="327">
        <v>42614</v>
      </c>
      <c r="U61" s="282"/>
      <c r="V61" s="5"/>
    </row>
    <row r="62" spans="1:23" x14ac:dyDescent="0.35">
      <c r="A62" s="228"/>
      <c r="B62" s="258"/>
      <c r="C62" s="258"/>
      <c r="D62" s="258"/>
      <c r="E62" s="258"/>
      <c r="F62" s="258"/>
      <c r="G62" s="258"/>
      <c r="H62" s="258"/>
      <c r="I62" s="258"/>
      <c r="J62" s="258"/>
      <c r="K62" s="258"/>
      <c r="L62" s="258"/>
      <c r="M62" s="258"/>
      <c r="N62" s="258"/>
      <c r="O62" s="258"/>
      <c r="P62" s="258"/>
      <c r="Q62" s="258"/>
      <c r="R62" s="276"/>
      <c r="S62" s="277"/>
      <c r="T62" s="276"/>
      <c r="U62" s="258"/>
      <c r="V62" s="5"/>
    </row>
    <row r="63" spans="1:23" x14ac:dyDescent="0.35">
      <c r="A63" s="228"/>
      <c r="B63" s="229"/>
      <c r="C63" s="229"/>
      <c r="D63" s="229"/>
      <c r="E63" s="229"/>
      <c r="F63" s="229"/>
      <c r="G63" s="229"/>
      <c r="H63" s="229"/>
      <c r="I63" s="229"/>
      <c r="J63" s="229"/>
      <c r="K63" s="229"/>
      <c r="L63" s="229"/>
      <c r="M63" s="229"/>
      <c r="N63" s="229"/>
      <c r="O63" s="229"/>
      <c r="P63" s="229"/>
      <c r="Q63" s="229"/>
      <c r="R63" s="230"/>
      <c r="S63" s="231"/>
      <c r="T63" s="230"/>
      <c r="U63" s="229"/>
      <c r="V63" s="5"/>
    </row>
    <row r="64" spans="1:23" ht="18" thickBot="1" x14ac:dyDescent="0.4">
      <c r="A64" s="232"/>
      <c r="B64" s="233" t="s">
        <v>346</v>
      </c>
      <c r="C64" s="234"/>
      <c r="D64" s="234"/>
      <c r="E64" s="234"/>
      <c r="F64" s="234"/>
      <c r="G64" s="234"/>
      <c r="H64" s="234"/>
      <c r="I64" s="234"/>
      <c r="J64" s="234"/>
      <c r="K64" s="234"/>
      <c r="L64" s="234"/>
      <c r="M64" s="234"/>
      <c r="N64" s="234"/>
      <c r="O64" s="234"/>
      <c r="P64" s="234"/>
      <c r="Q64" s="234"/>
      <c r="R64" s="234"/>
      <c r="S64" s="234"/>
      <c r="T64" s="235"/>
      <c r="U64" s="236"/>
      <c r="V64" s="5"/>
    </row>
    <row r="65" spans="1:22" x14ac:dyDescent="0.35">
      <c r="A65" s="252"/>
      <c r="B65" s="385" t="s">
        <v>17</v>
      </c>
      <c r="C65" s="253"/>
      <c r="D65" s="253"/>
      <c r="E65" s="253"/>
      <c r="F65" s="253"/>
      <c r="G65" s="253"/>
      <c r="H65" s="253"/>
      <c r="I65" s="253"/>
      <c r="J65" s="253"/>
      <c r="K65" s="253"/>
      <c r="L65" s="253"/>
      <c r="M65" s="253"/>
      <c r="N65" s="253"/>
      <c r="O65" s="253"/>
      <c r="P65" s="253"/>
      <c r="Q65" s="253"/>
      <c r="R65" s="253"/>
      <c r="S65" s="253"/>
      <c r="T65" s="259"/>
      <c r="U65" s="253"/>
      <c r="V65" s="5"/>
    </row>
    <row r="66" spans="1:22" x14ac:dyDescent="0.35">
      <c r="A66" s="174"/>
      <c r="B66" s="182"/>
      <c r="C66" s="176"/>
      <c r="D66" s="176"/>
      <c r="E66" s="176"/>
      <c r="F66" s="176"/>
      <c r="G66" s="176"/>
      <c r="H66" s="176"/>
      <c r="I66" s="176"/>
      <c r="J66" s="176"/>
      <c r="K66" s="176"/>
      <c r="L66" s="176"/>
      <c r="M66" s="176"/>
      <c r="N66" s="176"/>
      <c r="O66" s="176"/>
      <c r="P66" s="176"/>
      <c r="Q66" s="176"/>
      <c r="R66" s="176"/>
      <c r="S66" s="176"/>
      <c r="T66" s="193"/>
      <c r="U66" s="176"/>
      <c r="V66" s="5"/>
    </row>
    <row r="67" spans="1:22" ht="45" x14ac:dyDescent="0.35">
      <c r="A67" s="174"/>
      <c r="B67" s="194" t="s">
        <v>18</v>
      </c>
      <c r="C67" s="195"/>
      <c r="D67" s="195"/>
      <c r="E67" s="195"/>
      <c r="F67" s="195"/>
      <c r="G67" s="195"/>
      <c r="H67" s="195"/>
      <c r="I67" s="195"/>
      <c r="J67" s="195" t="s">
        <v>98</v>
      </c>
      <c r="K67" s="195"/>
      <c r="L67" s="195" t="s">
        <v>100</v>
      </c>
      <c r="M67" s="195"/>
      <c r="N67" s="195" t="s">
        <v>102</v>
      </c>
      <c r="O67" s="195"/>
      <c r="P67" s="195" t="s">
        <v>104</v>
      </c>
      <c r="Q67" s="195"/>
      <c r="R67" s="195" t="s">
        <v>111</v>
      </c>
      <c r="S67" s="195"/>
      <c r="T67" s="196" t="s">
        <v>119</v>
      </c>
      <c r="U67" s="197"/>
      <c r="V67" s="5"/>
    </row>
    <row r="68" spans="1:22" x14ac:dyDescent="0.35">
      <c r="A68" s="305"/>
      <c r="B68" s="279" t="s">
        <v>19</v>
      </c>
      <c r="C68" s="332"/>
      <c r="D68" s="332"/>
      <c r="E68" s="332"/>
      <c r="F68" s="332"/>
      <c r="G68" s="332"/>
      <c r="H68" s="332"/>
      <c r="I68" s="332"/>
      <c r="J68" s="332">
        <v>1000296</v>
      </c>
      <c r="K68" s="332"/>
      <c r="L68" s="333">
        <v>394681</v>
      </c>
      <c r="M68" s="332"/>
      <c r="N68" s="332">
        <f>5412+160</f>
        <v>5572</v>
      </c>
      <c r="O68" s="332"/>
      <c r="P68" s="332">
        <v>160</v>
      </c>
      <c r="Q68" s="332"/>
      <c r="R68" s="332">
        <v>0</v>
      </c>
      <c r="S68" s="332"/>
      <c r="T68" s="333">
        <f>+L68-N68+P68-R68</f>
        <v>389269</v>
      </c>
      <c r="U68" s="282"/>
      <c r="V68" s="5"/>
    </row>
    <row r="69" spans="1:22" x14ac:dyDescent="0.35">
      <c r="A69" s="305"/>
      <c r="B69" s="279" t="s">
        <v>20</v>
      </c>
      <c r="C69" s="332"/>
      <c r="D69" s="332"/>
      <c r="E69" s="332"/>
      <c r="F69" s="332"/>
      <c r="G69" s="332"/>
      <c r="H69" s="332"/>
      <c r="I69" s="332"/>
      <c r="J69" s="332">
        <v>54</v>
      </c>
      <c r="K69" s="332"/>
      <c r="L69" s="333">
        <v>0</v>
      </c>
      <c r="M69" s="332"/>
      <c r="N69" s="332">
        <v>0</v>
      </c>
      <c r="O69" s="332"/>
      <c r="P69" s="332">
        <v>0</v>
      </c>
      <c r="Q69" s="332"/>
      <c r="R69" s="332">
        <v>0</v>
      </c>
      <c r="S69" s="332"/>
      <c r="T69" s="333">
        <v>0</v>
      </c>
      <c r="U69" s="282"/>
      <c r="V69" s="5"/>
    </row>
    <row r="70" spans="1:22" x14ac:dyDescent="0.35">
      <c r="A70" s="305"/>
      <c r="B70" s="279"/>
      <c r="C70" s="332"/>
      <c r="D70" s="332"/>
      <c r="E70" s="332"/>
      <c r="F70" s="332"/>
      <c r="G70" s="332"/>
      <c r="H70" s="332"/>
      <c r="I70" s="332"/>
      <c r="J70" s="332"/>
      <c r="K70" s="332"/>
      <c r="L70" s="333"/>
      <c r="M70" s="332"/>
      <c r="N70" s="332"/>
      <c r="O70" s="332"/>
      <c r="P70" s="332"/>
      <c r="Q70" s="332"/>
      <c r="R70" s="332"/>
      <c r="S70" s="332"/>
      <c r="T70" s="333"/>
      <c r="U70" s="282"/>
      <c r="V70" s="5"/>
    </row>
    <row r="71" spans="1:22" x14ac:dyDescent="0.35">
      <c r="A71" s="305"/>
      <c r="B71" s="279" t="s">
        <v>21</v>
      </c>
      <c r="C71" s="332"/>
      <c r="D71" s="332"/>
      <c r="E71" s="332"/>
      <c r="F71" s="332"/>
      <c r="G71" s="332"/>
      <c r="H71" s="332"/>
      <c r="I71" s="332"/>
      <c r="J71" s="332">
        <f>SUM(J68:J70)</f>
        <v>1000350</v>
      </c>
      <c r="K71" s="332"/>
      <c r="L71" s="332">
        <f>L68+L69</f>
        <v>394681</v>
      </c>
      <c r="M71" s="332"/>
      <c r="N71" s="332">
        <f>SUM(N68:N70)</f>
        <v>5572</v>
      </c>
      <c r="O71" s="332"/>
      <c r="P71" s="332">
        <f>SUM(P68:P70)</f>
        <v>160</v>
      </c>
      <c r="Q71" s="332"/>
      <c r="R71" s="332">
        <f>SUM(R68:R70)</f>
        <v>0</v>
      </c>
      <c r="S71" s="332"/>
      <c r="T71" s="332">
        <f>SUM(T68:T70)</f>
        <v>389269</v>
      </c>
      <c r="U71" s="282"/>
      <c r="V71" s="5"/>
    </row>
    <row r="72" spans="1:22" x14ac:dyDescent="0.35">
      <c r="A72" s="174"/>
      <c r="B72" s="329"/>
      <c r="C72" s="330"/>
      <c r="D72" s="330"/>
      <c r="E72" s="330"/>
      <c r="F72" s="330"/>
      <c r="G72" s="330"/>
      <c r="H72" s="330"/>
      <c r="I72" s="330"/>
      <c r="J72" s="330"/>
      <c r="K72" s="330"/>
      <c r="L72" s="330"/>
      <c r="M72" s="330"/>
      <c r="N72" s="330"/>
      <c r="O72" s="330"/>
      <c r="P72" s="330"/>
      <c r="Q72" s="330"/>
      <c r="R72" s="330"/>
      <c r="S72" s="330"/>
      <c r="T72" s="331"/>
      <c r="U72" s="329"/>
      <c r="V72" s="5"/>
    </row>
    <row r="73" spans="1:22" x14ac:dyDescent="0.35">
      <c r="A73" s="174"/>
      <c r="B73" s="178" t="s">
        <v>22</v>
      </c>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174"/>
      <c r="B74" s="176"/>
      <c r="C74" s="198"/>
      <c r="D74" s="198"/>
      <c r="E74" s="198"/>
      <c r="F74" s="198"/>
      <c r="G74" s="198"/>
      <c r="H74" s="198"/>
      <c r="I74" s="198"/>
      <c r="J74" s="198"/>
      <c r="K74" s="198"/>
      <c r="L74" s="198"/>
      <c r="M74" s="198"/>
      <c r="N74" s="198"/>
      <c r="O74" s="198"/>
      <c r="P74" s="198"/>
      <c r="Q74" s="198"/>
      <c r="R74" s="198"/>
      <c r="S74" s="198"/>
      <c r="T74" s="199"/>
      <c r="U74" s="176"/>
      <c r="V74" s="5"/>
    </row>
    <row r="75" spans="1:22" x14ac:dyDescent="0.35">
      <c r="A75" s="278"/>
      <c r="B75" s="279" t="s">
        <v>19</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t="s">
        <v>20</v>
      </c>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t="s">
        <v>21</v>
      </c>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c r="C79" s="332"/>
      <c r="D79" s="332"/>
      <c r="E79" s="332"/>
      <c r="F79" s="332"/>
      <c r="G79" s="332"/>
      <c r="H79" s="332"/>
      <c r="I79" s="332"/>
      <c r="J79" s="332"/>
      <c r="K79" s="332"/>
      <c r="L79" s="332"/>
      <c r="M79" s="332"/>
      <c r="N79" s="332"/>
      <c r="O79" s="332"/>
      <c r="P79" s="332"/>
      <c r="Q79" s="332"/>
      <c r="R79" s="332"/>
      <c r="S79" s="332"/>
      <c r="T79" s="332"/>
      <c r="U79" s="282"/>
      <c r="V79" s="5"/>
    </row>
    <row r="80" spans="1:22" x14ac:dyDescent="0.35">
      <c r="A80" s="278"/>
      <c r="B80" s="279" t="s">
        <v>23</v>
      </c>
      <c r="C80" s="332"/>
      <c r="D80" s="332"/>
      <c r="E80" s="332"/>
      <c r="F80" s="332"/>
      <c r="G80" s="332"/>
      <c r="H80" s="332"/>
      <c r="I80" s="332"/>
      <c r="J80" s="332">
        <v>0</v>
      </c>
      <c r="K80" s="332"/>
      <c r="L80" s="332">
        <v>0</v>
      </c>
      <c r="M80" s="332"/>
      <c r="N80" s="332"/>
      <c r="O80" s="332"/>
      <c r="P80" s="332"/>
      <c r="Q80" s="332"/>
      <c r="R80" s="332"/>
      <c r="S80" s="332"/>
      <c r="T80" s="333">
        <v>0</v>
      </c>
      <c r="U80" s="282"/>
      <c r="V80" s="5"/>
    </row>
    <row r="81" spans="1:22" x14ac:dyDescent="0.35">
      <c r="A81" s="278"/>
      <c r="B81" s="279" t="s">
        <v>124</v>
      </c>
      <c r="C81" s="332"/>
      <c r="D81" s="332"/>
      <c r="E81" s="332"/>
      <c r="F81" s="332"/>
      <c r="G81" s="332"/>
      <c r="H81" s="332"/>
      <c r="I81" s="332"/>
      <c r="J81" s="332">
        <v>0</v>
      </c>
      <c r="K81" s="332"/>
      <c r="L81" s="332">
        <v>0</v>
      </c>
      <c r="M81" s="332"/>
      <c r="N81" s="332"/>
      <c r="O81" s="332"/>
      <c r="P81" s="332"/>
      <c r="Q81" s="332"/>
      <c r="R81" s="332"/>
      <c r="S81" s="332"/>
      <c r="T81" s="332">
        <f>SUM(J81:P81)</f>
        <v>0</v>
      </c>
      <c r="U81" s="282"/>
      <c r="V81" s="5"/>
    </row>
    <row r="82" spans="1:22" x14ac:dyDescent="0.35">
      <c r="A82" s="278"/>
      <c r="B82" s="279" t="s">
        <v>153</v>
      </c>
      <c r="C82" s="332"/>
      <c r="D82" s="332"/>
      <c r="E82" s="332"/>
      <c r="F82" s="332"/>
      <c r="G82" s="332"/>
      <c r="H82" s="332"/>
      <c r="I82" s="332"/>
      <c r="J82" s="332">
        <v>3</v>
      </c>
      <c r="K82" s="332"/>
      <c r="L82" s="332">
        <v>0</v>
      </c>
      <c r="M82" s="332"/>
      <c r="N82" s="332"/>
      <c r="O82" s="332"/>
      <c r="P82" s="332"/>
      <c r="Q82" s="332"/>
      <c r="R82" s="332"/>
      <c r="S82" s="332"/>
      <c r="T82" s="332">
        <f>+L82+N82</f>
        <v>0</v>
      </c>
      <c r="U82" s="282"/>
      <c r="V82" s="5"/>
    </row>
    <row r="83" spans="1:22" x14ac:dyDescent="0.35">
      <c r="A83" s="278"/>
      <c r="B83" s="279" t="s">
        <v>25</v>
      </c>
      <c r="C83" s="332"/>
      <c r="D83" s="332"/>
      <c r="E83" s="332"/>
      <c r="F83" s="332"/>
      <c r="G83" s="332"/>
      <c r="H83" s="332"/>
      <c r="I83" s="332"/>
      <c r="J83" s="332">
        <v>0</v>
      </c>
      <c r="K83" s="332"/>
      <c r="L83" s="332">
        <v>0</v>
      </c>
      <c r="M83" s="332"/>
      <c r="N83" s="332"/>
      <c r="O83" s="332"/>
      <c r="P83" s="332"/>
      <c r="Q83" s="332"/>
      <c r="R83" s="332"/>
      <c r="S83" s="332"/>
      <c r="T83" s="332">
        <v>0</v>
      </c>
      <c r="U83" s="282"/>
      <c r="V83" s="5"/>
    </row>
    <row r="84" spans="1:22" x14ac:dyDescent="0.35">
      <c r="A84" s="278"/>
      <c r="B84" s="279" t="s">
        <v>26</v>
      </c>
      <c r="C84" s="332"/>
      <c r="D84" s="332"/>
      <c r="E84" s="332"/>
      <c r="F84" s="332"/>
      <c r="G84" s="332"/>
      <c r="H84" s="332"/>
      <c r="I84" s="332"/>
      <c r="J84" s="332">
        <f>SUM(J71:J83)</f>
        <v>1000353</v>
      </c>
      <c r="K84" s="332"/>
      <c r="L84" s="332">
        <f>SUM(L71:L83)</f>
        <v>394681</v>
      </c>
      <c r="M84" s="332"/>
      <c r="N84" s="332"/>
      <c r="O84" s="332"/>
      <c r="P84" s="332"/>
      <c r="Q84" s="332"/>
      <c r="R84" s="332"/>
      <c r="S84" s="332"/>
      <c r="T84" s="332">
        <f>SUM(T71:T83)</f>
        <v>389269</v>
      </c>
      <c r="U84" s="282"/>
      <c r="V84" s="5"/>
    </row>
    <row r="85" spans="1:22" x14ac:dyDescent="0.35">
      <c r="A85" s="174"/>
      <c r="B85" s="329"/>
      <c r="C85" s="330"/>
      <c r="D85" s="330"/>
      <c r="E85" s="330"/>
      <c r="F85" s="330"/>
      <c r="G85" s="330"/>
      <c r="H85" s="330"/>
      <c r="I85" s="330"/>
      <c r="J85" s="330"/>
      <c r="K85" s="330"/>
      <c r="L85" s="330"/>
      <c r="M85" s="330"/>
      <c r="N85" s="330"/>
      <c r="O85" s="330"/>
      <c r="P85" s="330"/>
      <c r="Q85" s="330"/>
      <c r="R85" s="330"/>
      <c r="S85" s="330"/>
      <c r="T85" s="331"/>
      <c r="U85" s="329"/>
      <c r="V85" s="5"/>
    </row>
    <row r="86" spans="1:22" x14ac:dyDescent="0.35">
      <c r="A86" s="174"/>
      <c r="B86" s="176"/>
      <c r="C86" s="176"/>
      <c r="D86" s="176"/>
      <c r="E86" s="176"/>
      <c r="F86" s="176"/>
      <c r="G86" s="176"/>
      <c r="H86" s="176"/>
      <c r="I86" s="176"/>
      <c r="J86" s="176"/>
      <c r="K86" s="176"/>
      <c r="L86" s="176"/>
      <c r="M86" s="176"/>
      <c r="N86" s="176"/>
      <c r="O86" s="176"/>
      <c r="P86" s="176"/>
      <c r="Q86" s="176"/>
      <c r="R86" s="176"/>
      <c r="S86" s="176"/>
      <c r="T86" s="176"/>
      <c r="U86" s="176"/>
      <c r="V86" s="5"/>
    </row>
    <row r="87" spans="1:22" x14ac:dyDescent="0.35">
      <c r="A87" s="252"/>
      <c r="B87" s="385" t="s">
        <v>27</v>
      </c>
      <c r="C87" s="385"/>
      <c r="D87" s="385"/>
      <c r="E87" s="385"/>
      <c r="F87" s="385"/>
      <c r="G87" s="385"/>
      <c r="H87" s="386"/>
      <c r="I87" s="386"/>
      <c r="J87" s="387" t="s">
        <v>99</v>
      </c>
      <c r="K87" s="386"/>
      <c r="L87" s="388">
        <f>+R198</f>
        <v>42613</v>
      </c>
      <c r="M87" s="386"/>
      <c r="N87" s="386"/>
      <c r="O87" s="386"/>
      <c r="P87" s="386"/>
      <c r="Q87" s="386"/>
      <c r="R87" s="386" t="s">
        <v>112</v>
      </c>
      <c r="S87" s="386"/>
      <c r="T87" s="386" t="s">
        <v>120</v>
      </c>
      <c r="U87" s="253"/>
      <c r="V87" s="5"/>
    </row>
    <row r="88" spans="1:22" x14ac:dyDescent="0.35">
      <c r="A88" s="305"/>
      <c r="B88" s="279" t="s">
        <v>28</v>
      </c>
      <c r="C88" s="279"/>
      <c r="D88" s="279"/>
      <c r="E88" s="279"/>
      <c r="F88" s="279"/>
      <c r="G88" s="279"/>
      <c r="H88" s="279"/>
      <c r="I88" s="279"/>
      <c r="J88" s="279"/>
      <c r="K88" s="279"/>
      <c r="L88" s="279"/>
      <c r="M88" s="279"/>
      <c r="N88" s="279"/>
      <c r="O88" s="279"/>
      <c r="P88" s="279"/>
      <c r="Q88" s="279"/>
      <c r="R88" s="332">
        <v>0</v>
      </c>
      <c r="S88" s="279"/>
      <c r="T88" s="333">
        <v>0</v>
      </c>
      <c r="U88" s="282"/>
      <c r="V88" s="5"/>
    </row>
    <row r="89" spans="1:22" x14ac:dyDescent="0.35">
      <c r="A89" s="305"/>
      <c r="B89" s="279" t="s">
        <v>29</v>
      </c>
      <c r="C89" s="279"/>
      <c r="D89" s="279"/>
      <c r="E89" s="279"/>
      <c r="F89" s="279"/>
      <c r="G89" s="279"/>
      <c r="H89" s="319"/>
      <c r="I89" s="335"/>
      <c r="J89" s="319"/>
      <c r="K89" s="279"/>
      <c r="L89" s="336"/>
      <c r="M89" s="279"/>
      <c r="N89" s="279"/>
      <c r="O89" s="279"/>
      <c r="P89" s="279"/>
      <c r="Q89" s="279"/>
      <c r="R89" s="332">
        <f>5572-38</f>
        <v>5534</v>
      </c>
      <c r="S89" s="279"/>
      <c r="T89" s="333"/>
      <c r="U89" s="282"/>
      <c r="V89" s="5"/>
    </row>
    <row r="90" spans="1:22" x14ac:dyDescent="0.35">
      <c r="A90" s="305"/>
      <c r="B90" s="279" t="s">
        <v>259</v>
      </c>
      <c r="C90" s="279"/>
      <c r="D90" s="279"/>
      <c r="E90" s="279"/>
      <c r="F90" s="279"/>
      <c r="G90" s="279"/>
      <c r="H90" s="319"/>
      <c r="I90" s="335"/>
      <c r="J90" s="319"/>
      <c r="K90" s="279"/>
      <c r="L90" s="336"/>
      <c r="M90" s="279"/>
      <c r="N90" s="279"/>
      <c r="O90" s="279"/>
      <c r="P90" s="279"/>
      <c r="Q90" s="279"/>
      <c r="R90" s="332"/>
      <c r="S90" s="279"/>
      <c r="T90" s="333">
        <f>1994+1119-449-275</f>
        <v>2389</v>
      </c>
      <c r="U90" s="282"/>
      <c r="V90" s="5"/>
    </row>
    <row r="91" spans="1:22" x14ac:dyDescent="0.35">
      <c r="A91" s="305"/>
      <c r="B91" s="279" t="s">
        <v>254</v>
      </c>
      <c r="C91" s="279"/>
      <c r="D91" s="279"/>
      <c r="E91" s="279"/>
      <c r="F91" s="279"/>
      <c r="G91" s="279"/>
      <c r="H91" s="319"/>
      <c r="I91" s="335"/>
      <c r="J91" s="319"/>
      <c r="K91" s="279"/>
      <c r="L91" s="336"/>
      <c r="M91" s="279"/>
      <c r="N91" s="279"/>
      <c r="O91" s="279"/>
      <c r="P91" s="279"/>
      <c r="Q91" s="279"/>
      <c r="R91" s="332"/>
      <c r="S91" s="279"/>
      <c r="T91" s="333">
        <f>46+36</f>
        <v>82</v>
      </c>
      <c r="U91" s="282"/>
      <c r="V91" s="5"/>
    </row>
    <row r="92" spans="1:22" x14ac:dyDescent="0.35">
      <c r="A92" s="305"/>
      <c r="B92" s="279" t="s">
        <v>255</v>
      </c>
      <c r="C92" s="279"/>
      <c r="D92" s="279"/>
      <c r="E92" s="279"/>
      <c r="F92" s="279"/>
      <c r="G92" s="279"/>
      <c r="H92" s="319"/>
      <c r="I92" s="335"/>
      <c r="J92" s="319"/>
      <c r="K92" s="279"/>
      <c r="L92" s="336"/>
      <c r="M92" s="279"/>
      <c r="N92" s="279"/>
      <c r="O92" s="279"/>
      <c r="P92" s="279"/>
      <c r="Q92" s="279"/>
      <c r="R92" s="332"/>
      <c r="S92" s="279"/>
      <c r="T92" s="333">
        <v>34</v>
      </c>
      <c r="U92" s="282"/>
      <c r="V92" s="5"/>
    </row>
    <row r="93" spans="1:22" x14ac:dyDescent="0.35">
      <c r="A93" s="305"/>
      <c r="B93" s="279" t="s">
        <v>273</v>
      </c>
      <c r="C93" s="279"/>
      <c r="D93" s="279"/>
      <c r="E93" s="279"/>
      <c r="F93" s="279"/>
      <c r="G93" s="279"/>
      <c r="H93" s="319"/>
      <c r="I93" s="335"/>
      <c r="J93" s="319"/>
      <c r="K93" s="279"/>
      <c r="L93" s="336"/>
      <c r="M93" s="279"/>
      <c r="N93" s="279"/>
      <c r="O93" s="279"/>
      <c r="P93" s="279"/>
      <c r="Q93" s="279"/>
      <c r="R93" s="332"/>
      <c r="S93" s="279"/>
      <c r="T93" s="333">
        <v>0</v>
      </c>
      <c r="U93" s="282"/>
      <c r="V93" s="5"/>
    </row>
    <row r="94" spans="1:22" x14ac:dyDescent="0.35">
      <c r="A94" s="305"/>
      <c r="B94" s="279" t="s">
        <v>142</v>
      </c>
      <c r="C94" s="279"/>
      <c r="D94" s="279"/>
      <c r="E94" s="279"/>
      <c r="F94" s="279"/>
      <c r="G94" s="279"/>
      <c r="H94" s="279"/>
      <c r="I94" s="279"/>
      <c r="J94" s="279"/>
      <c r="K94" s="279"/>
      <c r="L94" s="279"/>
      <c r="M94" s="279"/>
      <c r="N94" s="279"/>
      <c r="O94" s="279"/>
      <c r="P94" s="279"/>
      <c r="Q94" s="279"/>
      <c r="R94" s="332"/>
      <c r="S94" s="279"/>
      <c r="T94" s="333">
        <v>0</v>
      </c>
      <c r="U94" s="282"/>
      <c r="V94" s="5"/>
    </row>
    <row r="95" spans="1:22" x14ac:dyDescent="0.35">
      <c r="A95" s="305"/>
      <c r="B95" s="279" t="s">
        <v>234</v>
      </c>
      <c r="C95" s="279"/>
      <c r="D95" s="279"/>
      <c r="E95" s="279"/>
      <c r="F95" s="279"/>
      <c r="G95" s="279"/>
      <c r="H95" s="279"/>
      <c r="I95" s="279"/>
      <c r="J95" s="279"/>
      <c r="K95" s="279"/>
      <c r="L95" s="279"/>
      <c r="M95" s="279"/>
      <c r="N95" s="279"/>
      <c r="O95" s="279"/>
      <c r="P95" s="279"/>
      <c r="Q95" s="279"/>
      <c r="R95" s="332"/>
      <c r="S95" s="279"/>
      <c r="T95" s="333">
        <v>167</v>
      </c>
      <c r="U95" s="282"/>
      <c r="V95" s="5"/>
    </row>
    <row r="96" spans="1:22" x14ac:dyDescent="0.35">
      <c r="A96" s="305"/>
      <c r="B96" s="279" t="s">
        <v>30</v>
      </c>
      <c r="C96" s="279"/>
      <c r="D96" s="279"/>
      <c r="E96" s="279"/>
      <c r="F96" s="279"/>
      <c r="G96" s="279"/>
      <c r="H96" s="279"/>
      <c r="I96" s="279"/>
      <c r="J96" s="279"/>
      <c r="K96" s="279"/>
      <c r="L96" s="279"/>
      <c r="M96" s="279"/>
      <c r="N96" s="279"/>
      <c r="O96" s="279"/>
      <c r="P96" s="279"/>
      <c r="Q96" s="279"/>
      <c r="R96" s="332">
        <f>SUM(R88:R95)</f>
        <v>5534</v>
      </c>
      <c r="S96" s="279"/>
      <c r="T96" s="332">
        <f>SUM(T88:T95)</f>
        <v>2672</v>
      </c>
      <c r="U96" s="282"/>
      <c r="V96" s="5"/>
    </row>
    <row r="97" spans="1:23" x14ac:dyDescent="0.35">
      <c r="A97" s="305"/>
      <c r="B97" s="279" t="s">
        <v>170</v>
      </c>
      <c r="C97" s="279"/>
      <c r="D97" s="279"/>
      <c r="E97" s="279"/>
      <c r="F97" s="279"/>
      <c r="G97" s="279"/>
      <c r="H97" s="279"/>
      <c r="I97" s="279"/>
      <c r="J97" s="279"/>
      <c r="K97" s="279"/>
      <c r="L97" s="279"/>
      <c r="M97" s="279"/>
      <c r="N97" s="279"/>
      <c r="O97" s="279"/>
      <c r="P97" s="279"/>
      <c r="Q97" s="279"/>
      <c r="R97" s="332">
        <f>-T97</f>
        <v>0</v>
      </c>
      <c r="S97" s="279"/>
      <c r="T97" s="332">
        <v>0</v>
      </c>
      <c r="U97" s="282"/>
      <c r="V97" s="5"/>
    </row>
    <row r="98" spans="1:23" x14ac:dyDescent="0.35">
      <c r="A98" s="305"/>
      <c r="B98" s="279" t="s">
        <v>31</v>
      </c>
      <c r="C98" s="279"/>
      <c r="D98" s="279"/>
      <c r="E98" s="279"/>
      <c r="F98" s="279"/>
      <c r="G98" s="279"/>
      <c r="H98" s="279"/>
      <c r="I98" s="279"/>
      <c r="J98" s="279"/>
      <c r="K98" s="279"/>
      <c r="L98" s="279"/>
      <c r="M98" s="279"/>
      <c r="N98" s="279"/>
      <c r="O98" s="279"/>
      <c r="P98" s="279"/>
      <c r="Q98" s="279"/>
      <c r="R98" s="332">
        <f>-T98</f>
        <v>0</v>
      </c>
      <c r="S98" s="279"/>
      <c r="T98" s="333">
        <v>0</v>
      </c>
      <c r="U98" s="282"/>
      <c r="V98" s="5"/>
    </row>
    <row r="99" spans="1:23" x14ac:dyDescent="0.35">
      <c r="A99" s="305"/>
      <c r="B99" s="279" t="s">
        <v>285</v>
      </c>
      <c r="C99" s="279"/>
      <c r="D99" s="279"/>
      <c r="E99" s="279"/>
      <c r="F99" s="279"/>
      <c r="G99" s="279"/>
      <c r="H99" s="279"/>
      <c r="I99" s="279"/>
      <c r="J99" s="279"/>
      <c r="K99" s="279"/>
      <c r="L99" s="279"/>
      <c r="M99" s="279"/>
      <c r="N99" s="279"/>
      <c r="O99" s="279"/>
      <c r="P99" s="279"/>
      <c r="Q99" s="279"/>
      <c r="R99" s="332"/>
      <c r="S99" s="279"/>
      <c r="T99" s="333">
        <v>53</v>
      </c>
      <c r="U99" s="282"/>
      <c r="V99" s="5"/>
    </row>
    <row r="100" spans="1:23" x14ac:dyDescent="0.35">
      <c r="A100" s="305"/>
      <c r="B100" s="279" t="s">
        <v>32</v>
      </c>
      <c r="C100" s="279"/>
      <c r="D100" s="279"/>
      <c r="E100" s="279"/>
      <c r="F100" s="279"/>
      <c r="G100" s="279"/>
      <c r="H100" s="279"/>
      <c r="I100" s="279"/>
      <c r="J100" s="279"/>
      <c r="K100" s="279"/>
      <c r="L100" s="279"/>
      <c r="M100" s="279"/>
      <c r="N100" s="279"/>
      <c r="O100" s="279"/>
      <c r="P100" s="279"/>
      <c r="Q100" s="279"/>
      <c r="R100" s="332">
        <f>R96+R98+R97</f>
        <v>5534</v>
      </c>
      <c r="S100" s="279"/>
      <c r="T100" s="332">
        <f>T96+T98+T97+T99</f>
        <v>2725</v>
      </c>
      <c r="U100" s="282"/>
      <c r="V100" s="5"/>
    </row>
    <row r="101" spans="1:23" x14ac:dyDescent="0.35">
      <c r="A101" s="305"/>
      <c r="B101" s="337" t="s">
        <v>33</v>
      </c>
      <c r="C101" s="307"/>
      <c r="D101" s="307"/>
      <c r="E101" s="307"/>
      <c r="F101" s="307"/>
      <c r="G101" s="307"/>
      <c r="H101" s="307"/>
      <c r="I101" s="307"/>
      <c r="J101" s="307"/>
      <c r="K101" s="307"/>
      <c r="L101" s="307"/>
      <c r="M101" s="307"/>
      <c r="N101" s="307"/>
      <c r="O101" s="307"/>
      <c r="P101" s="307"/>
      <c r="Q101" s="307"/>
      <c r="R101" s="338"/>
      <c r="S101" s="307"/>
      <c r="T101" s="339"/>
      <c r="U101" s="312"/>
      <c r="V101" s="5"/>
    </row>
    <row r="102" spans="1:23" x14ac:dyDescent="0.35">
      <c r="A102" s="278">
        <v>1</v>
      </c>
      <c r="B102" s="279" t="s">
        <v>34</v>
      </c>
      <c r="C102" s="279"/>
      <c r="D102" s="279"/>
      <c r="E102" s="279"/>
      <c r="F102" s="279"/>
      <c r="G102" s="279"/>
      <c r="H102" s="279"/>
      <c r="I102" s="279"/>
      <c r="J102" s="279"/>
      <c r="K102" s="279"/>
      <c r="L102" s="279"/>
      <c r="M102" s="279"/>
      <c r="N102" s="279"/>
      <c r="O102" s="279"/>
      <c r="P102" s="279"/>
      <c r="Q102" s="279"/>
      <c r="R102" s="279"/>
      <c r="S102" s="279"/>
      <c r="T102" s="333">
        <v>0</v>
      </c>
      <c r="U102" s="282"/>
      <c r="V102" s="5"/>
    </row>
    <row r="103" spans="1:23" x14ac:dyDescent="0.35">
      <c r="A103" s="278">
        <f>+A102+1</f>
        <v>2</v>
      </c>
      <c r="B103" s="394" t="s">
        <v>325</v>
      </c>
      <c r="C103" s="279"/>
      <c r="D103" s="279"/>
      <c r="E103" s="279"/>
      <c r="F103" s="279"/>
      <c r="G103" s="279"/>
      <c r="H103" s="279"/>
      <c r="I103" s="279"/>
      <c r="J103" s="279"/>
      <c r="K103" s="279"/>
      <c r="L103" s="279"/>
      <c r="M103" s="279"/>
      <c r="N103" s="279"/>
      <c r="O103" s="279"/>
      <c r="P103" s="279"/>
      <c r="Q103" s="279"/>
      <c r="R103" s="279"/>
      <c r="S103" s="279"/>
      <c r="T103" s="333">
        <v>-2</v>
      </c>
      <c r="U103" s="282"/>
      <c r="V103" s="5"/>
    </row>
    <row r="104" spans="1:23" x14ac:dyDescent="0.35">
      <c r="A104" s="278">
        <f>+A103+1</f>
        <v>3</v>
      </c>
      <c r="B104" s="394" t="s">
        <v>327</v>
      </c>
      <c r="C104" s="279"/>
      <c r="D104" s="279"/>
      <c r="E104" s="279"/>
      <c r="F104" s="279"/>
      <c r="G104" s="279"/>
      <c r="H104" s="279"/>
      <c r="I104" s="279"/>
      <c r="J104" s="279"/>
      <c r="K104" s="279"/>
      <c r="L104" s="279"/>
      <c r="M104" s="279"/>
      <c r="N104" s="279"/>
      <c r="O104" s="279"/>
      <c r="P104" s="279"/>
      <c r="Q104" s="279"/>
      <c r="R104" s="279"/>
      <c r="S104" s="279"/>
      <c r="T104" s="333">
        <f>-153-103-6</f>
        <v>-262</v>
      </c>
      <c r="U104" s="282"/>
      <c r="V104" s="5"/>
    </row>
    <row r="105" spans="1:23" x14ac:dyDescent="0.35">
      <c r="A105" s="278" t="s">
        <v>134</v>
      </c>
      <c r="B105" s="279" t="s">
        <v>123</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135</v>
      </c>
      <c r="B106" s="279" t="s">
        <v>169</v>
      </c>
      <c r="C106" s="279"/>
      <c r="D106" s="279"/>
      <c r="E106" s="279"/>
      <c r="F106" s="279"/>
      <c r="G106" s="279"/>
      <c r="H106" s="279"/>
      <c r="I106" s="279"/>
      <c r="J106" s="279"/>
      <c r="K106" s="279"/>
      <c r="L106" s="279"/>
      <c r="M106" s="279"/>
      <c r="N106" s="279"/>
      <c r="O106" s="279"/>
      <c r="P106" s="279"/>
      <c r="Q106" s="279"/>
      <c r="R106" s="279"/>
      <c r="S106" s="279"/>
      <c r="T106" s="333">
        <v>0</v>
      </c>
      <c r="U106" s="282"/>
      <c r="V106" s="5"/>
    </row>
    <row r="107" spans="1:23" x14ac:dyDescent="0.35">
      <c r="A107" s="278" t="s">
        <v>157</v>
      </c>
      <c r="B107" s="279" t="s">
        <v>217</v>
      </c>
      <c r="C107" s="279"/>
      <c r="D107" s="279"/>
      <c r="E107" s="279"/>
      <c r="F107" s="279"/>
      <c r="G107" s="279"/>
      <c r="H107" s="279"/>
      <c r="I107" s="279"/>
      <c r="J107" s="279"/>
      <c r="K107" s="279"/>
      <c r="L107" s="279"/>
      <c r="M107" s="279"/>
      <c r="N107" s="279"/>
      <c r="O107" s="279"/>
      <c r="P107" s="279"/>
      <c r="Q107" s="279"/>
      <c r="R107" s="279"/>
      <c r="S107" s="279"/>
      <c r="T107" s="333">
        <f>-676+236</f>
        <v>-440</v>
      </c>
      <c r="U107" s="282"/>
      <c r="V107" s="169"/>
      <c r="W107" s="109"/>
    </row>
    <row r="108" spans="1:23" x14ac:dyDescent="0.35">
      <c r="A108" s="278" t="s">
        <v>158</v>
      </c>
      <c r="B108" s="279" t="s">
        <v>213</v>
      </c>
      <c r="C108" s="279"/>
      <c r="D108" s="279"/>
      <c r="E108" s="279"/>
      <c r="F108" s="279"/>
      <c r="G108" s="279"/>
      <c r="H108" s="279"/>
      <c r="I108" s="279"/>
      <c r="J108" s="279"/>
      <c r="K108" s="279"/>
      <c r="L108" s="279"/>
      <c r="M108" s="279"/>
      <c r="N108" s="279"/>
      <c r="O108" s="279"/>
      <c r="P108" s="279"/>
      <c r="Q108" s="279"/>
      <c r="R108" s="279"/>
      <c r="S108" s="279"/>
      <c r="T108" s="333">
        <v>-236</v>
      </c>
      <c r="U108" s="282"/>
      <c r="V108" s="5"/>
      <c r="W108" s="109"/>
    </row>
    <row r="109" spans="1:23" x14ac:dyDescent="0.35">
      <c r="A109" s="278" t="s">
        <v>247</v>
      </c>
      <c r="B109" s="279" t="s">
        <v>214</v>
      </c>
      <c r="C109" s="279"/>
      <c r="D109" s="279"/>
      <c r="E109" s="279"/>
      <c r="F109" s="279"/>
      <c r="G109" s="279"/>
      <c r="H109" s="279"/>
      <c r="I109" s="279"/>
      <c r="J109" s="279"/>
      <c r="K109" s="279"/>
      <c r="L109" s="279"/>
      <c r="M109" s="279"/>
      <c r="N109" s="279"/>
      <c r="O109" s="279"/>
      <c r="P109" s="279"/>
      <c r="Q109" s="279"/>
      <c r="R109" s="279"/>
      <c r="S109" s="279"/>
      <c r="T109" s="333">
        <v>-31</v>
      </c>
      <c r="U109" s="282"/>
      <c r="V109" s="5"/>
      <c r="W109" s="109"/>
    </row>
    <row r="110" spans="1:23" x14ac:dyDescent="0.35">
      <c r="A110" s="278" t="s">
        <v>248</v>
      </c>
      <c r="B110" s="279" t="s">
        <v>215</v>
      </c>
      <c r="C110" s="279"/>
      <c r="D110" s="279"/>
      <c r="E110" s="279"/>
      <c r="F110" s="279"/>
      <c r="G110" s="279"/>
      <c r="H110" s="279"/>
      <c r="I110" s="279"/>
      <c r="J110" s="279"/>
      <c r="K110" s="279"/>
      <c r="L110" s="279"/>
      <c r="M110" s="279"/>
      <c r="N110" s="279"/>
      <c r="O110" s="279"/>
      <c r="P110" s="279"/>
      <c r="Q110" s="279"/>
      <c r="R110" s="279"/>
      <c r="S110" s="279"/>
      <c r="T110" s="333">
        <v>-69</v>
      </c>
      <c r="U110" s="282"/>
      <c r="V110" s="169"/>
      <c r="W110" s="109"/>
    </row>
    <row r="111" spans="1:23" x14ac:dyDescent="0.35">
      <c r="A111" s="278" t="s">
        <v>249</v>
      </c>
      <c r="B111" s="279" t="s">
        <v>230</v>
      </c>
      <c r="C111" s="279"/>
      <c r="D111" s="279"/>
      <c r="E111" s="279"/>
      <c r="F111" s="279"/>
      <c r="G111" s="279"/>
      <c r="H111" s="279"/>
      <c r="I111" s="279"/>
      <c r="J111" s="279"/>
      <c r="K111" s="279"/>
      <c r="L111" s="279"/>
      <c r="M111" s="279"/>
      <c r="N111" s="279"/>
      <c r="O111" s="279"/>
      <c r="P111" s="279"/>
      <c r="Q111" s="279"/>
      <c r="R111" s="279"/>
      <c r="S111" s="279"/>
      <c r="T111" s="333">
        <v>-66</v>
      </c>
      <c r="U111" s="282"/>
      <c r="V111" s="5"/>
      <c r="W111" s="109"/>
    </row>
    <row r="112" spans="1:23" x14ac:dyDescent="0.35">
      <c r="A112" s="278" t="s">
        <v>250</v>
      </c>
      <c r="B112" s="279" t="s">
        <v>216</v>
      </c>
      <c r="C112" s="279"/>
      <c r="D112" s="279"/>
      <c r="E112" s="279"/>
      <c r="F112" s="279"/>
      <c r="G112" s="279"/>
      <c r="H112" s="279"/>
      <c r="I112" s="279"/>
      <c r="J112" s="279"/>
      <c r="K112" s="279"/>
      <c r="L112" s="279"/>
      <c r="M112" s="279"/>
      <c r="N112" s="279"/>
      <c r="O112" s="279"/>
      <c r="P112" s="279"/>
      <c r="Q112" s="279"/>
      <c r="R112" s="279"/>
      <c r="S112" s="279"/>
      <c r="T112" s="333">
        <v>-172</v>
      </c>
      <c r="U112" s="282"/>
      <c r="V112" s="5"/>
      <c r="W112" s="109"/>
    </row>
    <row r="113" spans="1:23" x14ac:dyDescent="0.35">
      <c r="A113" s="278">
        <v>7</v>
      </c>
      <c r="B113" s="394" t="s">
        <v>326</v>
      </c>
      <c r="C113" s="279"/>
      <c r="D113" s="279"/>
      <c r="E113" s="279"/>
      <c r="F113" s="279"/>
      <c r="G113" s="279"/>
      <c r="H113" s="279"/>
      <c r="I113" s="279"/>
      <c r="J113" s="279"/>
      <c r="K113" s="279"/>
      <c r="L113" s="279"/>
      <c r="M113" s="279"/>
      <c r="N113" s="279"/>
      <c r="O113" s="279"/>
      <c r="P113" s="279"/>
      <c r="Q113" s="279"/>
      <c r="R113" s="279"/>
      <c r="S113" s="279"/>
      <c r="T113" s="333">
        <v>0</v>
      </c>
      <c r="U113" s="282"/>
      <c r="V113" s="5"/>
      <c r="W113" s="109"/>
    </row>
    <row r="114" spans="1:23" x14ac:dyDescent="0.35">
      <c r="A114" s="278">
        <v>8</v>
      </c>
      <c r="B114" s="279" t="s">
        <v>36</v>
      </c>
      <c r="C114" s="279"/>
      <c r="D114" s="279"/>
      <c r="E114" s="279"/>
      <c r="F114" s="279"/>
      <c r="G114" s="279"/>
      <c r="H114" s="279"/>
      <c r="I114" s="279"/>
      <c r="J114" s="279"/>
      <c r="K114" s="279"/>
      <c r="L114" s="279"/>
      <c r="M114" s="279"/>
      <c r="N114" s="279"/>
      <c r="O114" s="279"/>
      <c r="P114" s="279"/>
      <c r="Q114" s="279"/>
      <c r="R114" s="279"/>
      <c r="S114" s="279"/>
      <c r="T114" s="333">
        <v>-7</v>
      </c>
      <c r="U114" s="282"/>
      <c r="V114" s="5"/>
    </row>
    <row r="115" spans="1:23" x14ac:dyDescent="0.35">
      <c r="A115" s="278">
        <f t="shared" ref="A115:A120" si="0">+A114+1</f>
        <v>9</v>
      </c>
      <c r="B115" s="279" t="s">
        <v>47</v>
      </c>
      <c r="C115" s="279"/>
      <c r="D115" s="279"/>
      <c r="E115" s="279"/>
      <c r="F115" s="279"/>
      <c r="G115" s="279"/>
      <c r="H115" s="279"/>
      <c r="I115" s="279"/>
      <c r="J115" s="279"/>
      <c r="K115" s="279"/>
      <c r="L115" s="279"/>
      <c r="M115" s="279"/>
      <c r="N115" s="279"/>
      <c r="O115" s="279"/>
      <c r="P115" s="279"/>
      <c r="Q115" s="279"/>
      <c r="R115" s="332">
        <f>-T115</f>
        <v>38</v>
      </c>
      <c r="S115" s="279"/>
      <c r="T115" s="333">
        <v>-38</v>
      </c>
      <c r="U115" s="282"/>
      <c r="V115" s="5"/>
    </row>
    <row r="116" spans="1:23" x14ac:dyDescent="0.35">
      <c r="A116" s="278">
        <f t="shared" si="0"/>
        <v>10</v>
      </c>
      <c r="B116" s="279" t="s">
        <v>132</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3" x14ac:dyDescent="0.35">
      <c r="A117" s="278">
        <f t="shared" si="0"/>
        <v>11</v>
      </c>
      <c r="B117" s="279" t="s">
        <v>37</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3" x14ac:dyDescent="0.35">
      <c r="A118" s="278">
        <f t="shared" si="0"/>
        <v>12</v>
      </c>
      <c r="B118" s="279" t="s">
        <v>38</v>
      </c>
      <c r="C118" s="279"/>
      <c r="D118" s="279"/>
      <c r="E118" s="279"/>
      <c r="F118" s="279"/>
      <c r="G118" s="279"/>
      <c r="H118" s="279"/>
      <c r="I118" s="279"/>
      <c r="J118" s="279"/>
      <c r="K118" s="279"/>
      <c r="L118" s="279"/>
      <c r="M118" s="279"/>
      <c r="N118" s="279"/>
      <c r="O118" s="279"/>
      <c r="P118" s="279"/>
      <c r="Q118" s="279"/>
      <c r="R118" s="279"/>
      <c r="S118" s="279"/>
      <c r="T118" s="333">
        <v>0</v>
      </c>
      <c r="U118" s="282"/>
      <c r="V118" s="5"/>
    </row>
    <row r="119" spans="1:23" x14ac:dyDescent="0.35">
      <c r="A119" s="278">
        <f t="shared" si="0"/>
        <v>13</v>
      </c>
      <c r="B119" s="279" t="s">
        <v>156</v>
      </c>
      <c r="C119" s="279"/>
      <c r="D119" s="279"/>
      <c r="E119" s="279"/>
      <c r="F119" s="279"/>
      <c r="G119" s="279"/>
      <c r="H119" s="279"/>
      <c r="I119" s="279"/>
      <c r="J119" s="279"/>
      <c r="K119" s="279"/>
      <c r="L119" s="279"/>
      <c r="M119" s="279"/>
      <c r="N119" s="279"/>
      <c r="O119" s="279"/>
      <c r="P119" s="279"/>
      <c r="Q119" s="279"/>
      <c r="R119" s="279"/>
      <c r="S119" s="279"/>
      <c r="T119" s="333">
        <v>-152</v>
      </c>
      <c r="U119" s="282"/>
      <c r="V119" s="5"/>
    </row>
    <row r="120" spans="1:23" x14ac:dyDescent="0.35">
      <c r="A120" s="278">
        <f t="shared" si="0"/>
        <v>14</v>
      </c>
      <c r="B120" s="279" t="s">
        <v>133</v>
      </c>
      <c r="C120" s="279"/>
      <c r="D120" s="279"/>
      <c r="E120" s="279"/>
      <c r="F120" s="279"/>
      <c r="G120" s="279"/>
      <c r="H120" s="279"/>
      <c r="I120" s="279"/>
      <c r="J120" s="279"/>
      <c r="K120" s="279"/>
      <c r="L120" s="279"/>
      <c r="M120" s="279"/>
      <c r="N120" s="279"/>
      <c r="O120" s="279"/>
      <c r="P120" s="279"/>
      <c r="Q120" s="279"/>
      <c r="R120" s="279"/>
      <c r="S120" s="279"/>
      <c r="T120" s="333">
        <f>-T100-SUM(T102:T119)</f>
        <v>-1250</v>
      </c>
      <c r="U120" s="282"/>
      <c r="V120" s="5"/>
    </row>
    <row r="121" spans="1:23" x14ac:dyDescent="0.35">
      <c r="A121" s="278"/>
      <c r="B121" s="337" t="s">
        <v>39</v>
      </c>
      <c r="C121" s="279"/>
      <c r="D121" s="279"/>
      <c r="E121" s="279"/>
      <c r="F121" s="279"/>
      <c r="G121" s="279"/>
      <c r="H121" s="279"/>
      <c r="I121" s="279"/>
      <c r="J121" s="279"/>
      <c r="K121" s="279"/>
      <c r="L121" s="279"/>
      <c r="M121" s="279"/>
      <c r="N121" s="279"/>
      <c r="O121" s="279"/>
      <c r="P121" s="279"/>
      <c r="Q121" s="279"/>
      <c r="R121" s="279"/>
      <c r="S121" s="279"/>
      <c r="T121" s="341"/>
      <c r="U121" s="282"/>
      <c r="V121" s="5"/>
    </row>
    <row r="122" spans="1:23" x14ac:dyDescent="0.35">
      <c r="A122" s="278"/>
      <c r="B122" s="279" t="s">
        <v>184</v>
      </c>
      <c r="C122" s="279"/>
      <c r="D122" s="279"/>
      <c r="E122" s="279"/>
      <c r="F122" s="279"/>
      <c r="G122" s="279"/>
      <c r="H122" s="279"/>
      <c r="I122" s="279"/>
      <c r="J122" s="279"/>
      <c r="K122" s="279"/>
      <c r="L122" s="279"/>
      <c r="M122" s="279"/>
      <c r="N122" s="279"/>
      <c r="O122" s="279"/>
      <c r="P122" s="279"/>
      <c r="Q122" s="279"/>
      <c r="R122" s="332">
        <f>-R182</f>
        <v>0</v>
      </c>
      <c r="S122" s="332"/>
      <c r="T122" s="333"/>
      <c r="U122" s="282"/>
      <c r="V122" s="5"/>
    </row>
    <row r="123" spans="1:23" x14ac:dyDescent="0.35">
      <c r="A123" s="278"/>
      <c r="B123" s="279" t="s">
        <v>185</v>
      </c>
      <c r="C123" s="279"/>
      <c r="D123" s="279"/>
      <c r="E123" s="279"/>
      <c r="F123" s="279"/>
      <c r="G123" s="279"/>
      <c r="H123" s="279"/>
      <c r="I123" s="279"/>
      <c r="J123" s="279"/>
      <c r="K123" s="279"/>
      <c r="L123" s="279"/>
      <c r="M123" s="279"/>
      <c r="N123" s="279"/>
      <c r="O123" s="279"/>
      <c r="P123" s="279"/>
      <c r="Q123" s="279"/>
      <c r="R123" s="332">
        <v>0</v>
      </c>
      <c r="S123" s="332"/>
      <c r="T123" s="333"/>
      <c r="U123" s="282"/>
      <c r="V123" s="5"/>
    </row>
    <row r="124" spans="1:23" x14ac:dyDescent="0.35">
      <c r="A124" s="278"/>
      <c r="B124" s="279" t="s">
        <v>40</v>
      </c>
      <c r="C124" s="279"/>
      <c r="D124" s="279"/>
      <c r="E124" s="279"/>
      <c r="F124" s="279"/>
      <c r="G124" s="279"/>
      <c r="H124" s="279"/>
      <c r="I124" s="279"/>
      <c r="J124" s="279"/>
      <c r="K124" s="279"/>
      <c r="L124" s="279"/>
      <c r="M124" s="279"/>
      <c r="N124" s="279"/>
      <c r="O124" s="279"/>
      <c r="P124" s="279"/>
      <c r="Q124" s="279"/>
      <c r="R124" s="332">
        <f>-Q182</f>
        <v>-160</v>
      </c>
      <c r="S124" s="332"/>
      <c r="T124" s="333"/>
      <c r="U124" s="282"/>
      <c r="V124" s="5"/>
    </row>
    <row r="125" spans="1:23" x14ac:dyDescent="0.35">
      <c r="A125" s="278"/>
      <c r="B125" s="279" t="s">
        <v>231</v>
      </c>
      <c r="C125" s="279"/>
      <c r="D125" s="279"/>
      <c r="E125" s="279"/>
      <c r="F125" s="279"/>
      <c r="G125" s="279"/>
      <c r="H125" s="279"/>
      <c r="I125" s="279"/>
      <c r="J125" s="279"/>
      <c r="K125" s="279"/>
      <c r="L125" s="279"/>
      <c r="M125" s="279"/>
      <c r="N125" s="279"/>
      <c r="O125" s="279"/>
      <c r="P125" s="279"/>
      <c r="Q125" s="279"/>
      <c r="R125" s="332">
        <v>-4172</v>
      </c>
      <c r="S125" s="332"/>
      <c r="T125" s="333"/>
      <c r="U125" s="282"/>
      <c r="V125" s="5"/>
    </row>
    <row r="126" spans="1:23" x14ac:dyDescent="0.35">
      <c r="A126" s="278"/>
      <c r="B126" s="279" t="s">
        <v>229</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3" x14ac:dyDescent="0.35">
      <c r="A127" s="278"/>
      <c r="B127" s="279" t="s">
        <v>228</v>
      </c>
      <c r="C127" s="279"/>
      <c r="D127" s="279"/>
      <c r="E127" s="279"/>
      <c r="F127" s="279"/>
      <c r="G127" s="279"/>
      <c r="H127" s="279"/>
      <c r="I127" s="279"/>
      <c r="J127" s="279"/>
      <c r="K127" s="279"/>
      <c r="L127" s="279"/>
      <c r="M127" s="279"/>
      <c r="N127" s="279"/>
      <c r="O127" s="279"/>
      <c r="P127" s="279"/>
      <c r="Q127" s="279"/>
      <c r="R127" s="332">
        <v>0</v>
      </c>
      <c r="S127" s="332"/>
      <c r="T127" s="333"/>
      <c r="U127" s="282"/>
      <c r="V127" s="5"/>
    </row>
    <row r="128" spans="1:23" x14ac:dyDescent="0.35">
      <c r="A128" s="278"/>
      <c r="B128" s="279" t="s">
        <v>221</v>
      </c>
      <c r="C128" s="279"/>
      <c r="D128" s="279"/>
      <c r="E128" s="279"/>
      <c r="F128" s="279"/>
      <c r="G128" s="279"/>
      <c r="H128" s="279"/>
      <c r="I128" s="279"/>
      <c r="J128" s="279"/>
      <c r="K128" s="279"/>
      <c r="L128" s="279"/>
      <c r="M128" s="279"/>
      <c r="N128" s="279"/>
      <c r="O128" s="279"/>
      <c r="P128" s="279"/>
      <c r="Q128" s="279"/>
      <c r="R128" s="332">
        <v>-336</v>
      </c>
      <c r="S128" s="332"/>
      <c r="T128" s="333"/>
      <c r="U128" s="282"/>
      <c r="V128" s="5"/>
    </row>
    <row r="129" spans="1:22" x14ac:dyDescent="0.35">
      <c r="A129" s="278"/>
      <c r="B129" s="279" t="s">
        <v>220</v>
      </c>
      <c r="C129" s="279"/>
      <c r="D129" s="279"/>
      <c r="E129" s="279"/>
      <c r="F129" s="279"/>
      <c r="G129" s="279"/>
      <c r="H129" s="279"/>
      <c r="I129" s="279"/>
      <c r="J129" s="279"/>
      <c r="K129" s="279"/>
      <c r="L129" s="279"/>
      <c r="M129" s="279"/>
      <c r="N129" s="279"/>
      <c r="O129" s="279"/>
      <c r="P129" s="279"/>
      <c r="Q129" s="279"/>
      <c r="R129" s="332">
        <v>-143</v>
      </c>
      <c r="S129" s="332"/>
      <c r="T129" s="333"/>
      <c r="U129" s="282"/>
      <c r="V129" s="5"/>
    </row>
    <row r="130" spans="1:22" x14ac:dyDescent="0.35">
      <c r="A130" s="278"/>
      <c r="B130" s="279" t="s">
        <v>219</v>
      </c>
      <c r="C130" s="279"/>
      <c r="D130" s="279"/>
      <c r="E130" s="279"/>
      <c r="F130" s="279"/>
      <c r="G130" s="279"/>
      <c r="H130" s="279"/>
      <c r="I130" s="279"/>
      <c r="J130" s="279"/>
      <c r="K130" s="279"/>
      <c r="L130" s="279"/>
      <c r="M130" s="279"/>
      <c r="N130" s="279"/>
      <c r="O130" s="279"/>
      <c r="P130" s="279"/>
      <c r="Q130" s="279"/>
      <c r="R130" s="332">
        <v>-559</v>
      </c>
      <c r="S130" s="332"/>
      <c r="T130" s="333"/>
      <c r="U130" s="282"/>
      <c r="V130" s="5"/>
    </row>
    <row r="131" spans="1:22" x14ac:dyDescent="0.35">
      <c r="A131" s="278"/>
      <c r="B131" s="279" t="s">
        <v>218</v>
      </c>
      <c r="C131" s="279"/>
      <c r="D131" s="279"/>
      <c r="E131" s="279"/>
      <c r="F131" s="279"/>
      <c r="G131" s="279"/>
      <c r="H131" s="279"/>
      <c r="I131" s="279"/>
      <c r="J131" s="279"/>
      <c r="K131" s="279"/>
      <c r="L131" s="279"/>
      <c r="M131" s="279"/>
      <c r="N131" s="279"/>
      <c r="O131" s="279"/>
      <c r="P131" s="279"/>
      <c r="Q131" s="279"/>
      <c r="R131" s="332">
        <v>-202</v>
      </c>
      <c r="S131" s="332"/>
      <c r="T131" s="333"/>
      <c r="U131" s="282"/>
      <c r="V131" s="5"/>
    </row>
    <row r="132" spans="1:22" x14ac:dyDescent="0.35">
      <c r="A132" s="278"/>
      <c r="B132" s="279" t="s">
        <v>41</v>
      </c>
      <c r="C132" s="279"/>
      <c r="D132" s="279"/>
      <c r="E132" s="279"/>
      <c r="F132" s="279"/>
      <c r="G132" s="279"/>
      <c r="H132" s="279"/>
      <c r="I132" s="279"/>
      <c r="J132" s="279"/>
      <c r="K132" s="279"/>
      <c r="L132" s="279"/>
      <c r="M132" s="279"/>
      <c r="N132" s="279"/>
      <c r="O132" s="279"/>
      <c r="P132" s="279"/>
      <c r="Q132" s="279"/>
      <c r="R132" s="332">
        <f>SUM(R122:R131)</f>
        <v>-5572</v>
      </c>
      <c r="S132" s="332"/>
      <c r="T132" s="332">
        <f>SUM(T101:T130)</f>
        <v>-2725</v>
      </c>
      <c r="U132" s="282"/>
      <c r="V132" s="5"/>
    </row>
    <row r="133" spans="1:22" x14ac:dyDescent="0.35">
      <c r="A133" s="278"/>
      <c r="B133" s="279" t="s">
        <v>42</v>
      </c>
      <c r="C133" s="279"/>
      <c r="D133" s="279"/>
      <c r="E133" s="279"/>
      <c r="F133" s="279"/>
      <c r="G133" s="279"/>
      <c r="H133" s="279"/>
      <c r="I133" s="279"/>
      <c r="J133" s="279"/>
      <c r="K133" s="279"/>
      <c r="L133" s="279"/>
      <c r="M133" s="279"/>
      <c r="N133" s="279"/>
      <c r="O133" s="279"/>
      <c r="P133" s="279"/>
      <c r="Q133" s="279"/>
      <c r="R133" s="332">
        <f>R100+R132+R115</f>
        <v>0</v>
      </c>
      <c r="S133" s="332"/>
      <c r="T133" s="332">
        <f>T100+T132</f>
        <v>0</v>
      </c>
      <c r="U133" s="282"/>
      <c r="V133" s="5"/>
    </row>
    <row r="134" spans="1:22" x14ac:dyDescent="0.35">
      <c r="A134" s="228"/>
      <c r="B134" s="258"/>
      <c r="C134" s="258"/>
      <c r="D134" s="258"/>
      <c r="E134" s="258"/>
      <c r="F134" s="258"/>
      <c r="G134" s="258"/>
      <c r="H134" s="258"/>
      <c r="I134" s="258"/>
      <c r="J134" s="258"/>
      <c r="K134" s="258"/>
      <c r="L134" s="258"/>
      <c r="M134" s="258"/>
      <c r="N134" s="258"/>
      <c r="O134" s="258"/>
      <c r="P134" s="258"/>
      <c r="Q134" s="258"/>
      <c r="R134" s="334"/>
      <c r="S134" s="334"/>
      <c r="T134" s="334"/>
      <c r="U134" s="258"/>
      <c r="V134" s="5"/>
    </row>
    <row r="135" spans="1:22" x14ac:dyDescent="0.35">
      <c r="A135" s="228"/>
      <c r="B135" s="229"/>
      <c r="C135" s="229"/>
      <c r="D135" s="229"/>
      <c r="E135" s="229"/>
      <c r="F135" s="229"/>
      <c r="G135" s="229"/>
      <c r="H135" s="229"/>
      <c r="I135" s="229"/>
      <c r="J135" s="229"/>
      <c r="K135" s="229"/>
      <c r="L135" s="229"/>
      <c r="M135" s="229"/>
      <c r="N135" s="229"/>
      <c r="O135" s="229"/>
      <c r="P135" s="229"/>
      <c r="Q135" s="229"/>
      <c r="R135" s="229"/>
      <c r="S135" s="229"/>
      <c r="T135" s="238"/>
      <c r="U135" s="229"/>
      <c r="V135" s="5"/>
    </row>
    <row r="136" spans="1:22" ht="18" thickBot="1" x14ac:dyDescent="0.4">
      <c r="A136" s="232"/>
      <c r="B136" s="233" t="str">
        <f>B64</f>
        <v>PM10 INVESTOR REPORT QUARTER ENDING AUGUST 2016</v>
      </c>
      <c r="C136" s="234"/>
      <c r="D136" s="234"/>
      <c r="E136" s="234"/>
      <c r="F136" s="234"/>
      <c r="G136" s="234"/>
      <c r="H136" s="234"/>
      <c r="I136" s="234"/>
      <c r="J136" s="234"/>
      <c r="K136" s="234"/>
      <c r="L136" s="234"/>
      <c r="M136" s="234"/>
      <c r="N136" s="234"/>
      <c r="O136" s="234"/>
      <c r="P136" s="234"/>
      <c r="Q136" s="234"/>
      <c r="R136" s="234"/>
      <c r="S136" s="234"/>
      <c r="T136" s="239"/>
      <c r="U136" s="236"/>
      <c r="V136" s="5"/>
    </row>
    <row r="137" spans="1:22" x14ac:dyDescent="0.35">
      <c r="A137" s="264"/>
      <c r="B137" s="389" t="s">
        <v>43</v>
      </c>
      <c r="C137" s="265"/>
      <c r="D137" s="265"/>
      <c r="E137" s="265"/>
      <c r="F137" s="265"/>
      <c r="G137" s="265"/>
      <c r="H137" s="265"/>
      <c r="I137" s="265"/>
      <c r="J137" s="265"/>
      <c r="K137" s="265"/>
      <c r="L137" s="265"/>
      <c r="M137" s="265"/>
      <c r="N137" s="265"/>
      <c r="O137" s="265"/>
      <c r="P137" s="265"/>
      <c r="Q137" s="265"/>
      <c r="R137" s="265"/>
      <c r="S137" s="265"/>
      <c r="T137" s="266"/>
      <c r="U137" s="265"/>
      <c r="V137" s="5"/>
    </row>
    <row r="138" spans="1:22" x14ac:dyDescent="0.35">
      <c r="A138" s="174"/>
      <c r="B138" s="187"/>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174"/>
      <c r="B139" s="200" t="s">
        <v>44</v>
      </c>
      <c r="C139" s="176"/>
      <c r="D139" s="176"/>
      <c r="E139" s="176"/>
      <c r="F139" s="176"/>
      <c r="G139" s="176"/>
      <c r="H139" s="176"/>
      <c r="I139" s="176"/>
      <c r="J139" s="176"/>
      <c r="K139" s="176"/>
      <c r="L139" s="176"/>
      <c r="M139" s="176"/>
      <c r="N139" s="176"/>
      <c r="O139" s="176"/>
      <c r="P139" s="176"/>
      <c r="Q139" s="176"/>
      <c r="R139" s="176"/>
      <c r="S139" s="176"/>
      <c r="T139" s="193"/>
      <c r="U139" s="176"/>
      <c r="V139" s="5"/>
    </row>
    <row r="140" spans="1:22" x14ac:dyDescent="0.35">
      <c r="A140" s="305"/>
      <c r="B140" s="279" t="s">
        <v>45</v>
      </c>
      <c r="C140" s="279"/>
      <c r="D140" s="279"/>
      <c r="E140" s="279"/>
      <c r="F140" s="279"/>
      <c r="G140" s="279"/>
      <c r="H140" s="279"/>
      <c r="I140" s="279"/>
      <c r="J140" s="279"/>
      <c r="K140" s="279"/>
      <c r="L140" s="279"/>
      <c r="M140" s="279"/>
      <c r="N140" s="279"/>
      <c r="O140" s="279"/>
      <c r="P140" s="279"/>
      <c r="Q140" s="279"/>
      <c r="R140" s="279"/>
      <c r="S140" s="279"/>
      <c r="T140" s="333">
        <f>+T34*0.0186</f>
        <v>18606.565799999997</v>
      </c>
      <c r="U140" s="282"/>
      <c r="V140" s="5"/>
    </row>
    <row r="141" spans="1:22" x14ac:dyDescent="0.35">
      <c r="A141" s="305"/>
      <c r="B141" s="279" t="s">
        <v>46</v>
      </c>
      <c r="C141" s="279"/>
      <c r="D141" s="279"/>
      <c r="E141" s="279"/>
      <c r="F141" s="279"/>
      <c r="G141" s="279"/>
      <c r="H141" s="279"/>
      <c r="I141" s="279"/>
      <c r="J141" s="279"/>
      <c r="K141" s="279"/>
      <c r="L141" s="279"/>
      <c r="M141" s="279"/>
      <c r="N141" s="279"/>
      <c r="O141" s="279"/>
      <c r="P141" s="279"/>
      <c r="Q141" s="279"/>
      <c r="R141" s="279"/>
      <c r="S141" s="279"/>
      <c r="T141" s="333">
        <v>18607</v>
      </c>
      <c r="U141" s="282"/>
      <c r="V141" s="5"/>
    </row>
    <row r="142" spans="1:22" x14ac:dyDescent="0.35">
      <c r="A142" s="305"/>
      <c r="B142" s="279" t="s">
        <v>143</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130</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131</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186</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47</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136</v>
      </c>
      <c r="C147" s="279"/>
      <c r="D147" s="279"/>
      <c r="E147" s="279"/>
      <c r="F147" s="279"/>
      <c r="G147" s="279"/>
      <c r="H147" s="279"/>
      <c r="I147" s="279"/>
      <c r="J147" s="279"/>
      <c r="K147" s="279"/>
      <c r="L147" s="279"/>
      <c r="M147" s="279"/>
      <c r="N147" s="279"/>
      <c r="O147" s="279"/>
      <c r="P147" s="279"/>
      <c r="Q147" s="279"/>
      <c r="R147" s="279"/>
      <c r="S147" s="279"/>
      <c r="T147" s="333">
        <v>0</v>
      </c>
      <c r="U147" s="282"/>
      <c r="V147" s="5"/>
    </row>
    <row r="148" spans="1:23" x14ac:dyDescent="0.35">
      <c r="A148" s="305"/>
      <c r="B148" s="279" t="s">
        <v>222</v>
      </c>
      <c r="C148" s="279"/>
      <c r="D148" s="279"/>
      <c r="E148" s="279"/>
      <c r="F148" s="279"/>
      <c r="G148" s="279"/>
      <c r="H148" s="279"/>
      <c r="I148" s="279"/>
      <c r="J148" s="279"/>
      <c r="K148" s="279"/>
      <c r="L148" s="279"/>
      <c r="M148" s="279"/>
      <c r="N148" s="279"/>
      <c r="O148" s="279"/>
      <c r="P148" s="279"/>
      <c r="Q148" s="279"/>
      <c r="R148" s="279"/>
      <c r="S148" s="279"/>
      <c r="T148" s="333">
        <v>0</v>
      </c>
      <c r="U148" s="282"/>
      <c r="V148" s="5"/>
      <c r="W148" s="109"/>
    </row>
    <row r="149" spans="1:23" x14ac:dyDescent="0.35">
      <c r="A149" s="305"/>
      <c r="B149" s="279" t="s">
        <v>48</v>
      </c>
      <c r="C149" s="279"/>
      <c r="D149" s="279"/>
      <c r="E149" s="279"/>
      <c r="F149" s="279"/>
      <c r="G149" s="279"/>
      <c r="H149" s="279"/>
      <c r="I149" s="279"/>
      <c r="J149" s="279"/>
      <c r="K149" s="279"/>
      <c r="L149" s="279"/>
      <c r="M149" s="279"/>
      <c r="N149" s="279"/>
      <c r="O149" s="279"/>
      <c r="P149" s="279"/>
      <c r="Q149" s="279"/>
      <c r="R149" s="279"/>
      <c r="S149" s="279"/>
      <c r="T149" s="333">
        <f>SUM(T141:T148)</f>
        <v>18607</v>
      </c>
      <c r="U149" s="282"/>
      <c r="V149" s="5"/>
    </row>
    <row r="150" spans="1:23" x14ac:dyDescent="0.35">
      <c r="A150" s="305"/>
      <c r="B150" s="307"/>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337" t="s">
        <v>266</v>
      </c>
      <c r="C151" s="307"/>
      <c r="D151" s="307"/>
      <c r="E151" s="307"/>
      <c r="F151" s="307"/>
      <c r="G151" s="307"/>
      <c r="H151" s="307"/>
      <c r="I151" s="307"/>
      <c r="J151" s="307"/>
      <c r="K151" s="307"/>
      <c r="L151" s="307"/>
      <c r="M151" s="307"/>
      <c r="N151" s="307"/>
      <c r="O151" s="307"/>
      <c r="P151" s="307"/>
      <c r="Q151" s="307"/>
      <c r="R151" s="307"/>
      <c r="S151" s="307"/>
      <c r="T151" s="339"/>
      <c r="U151" s="312"/>
      <c r="V151" s="5"/>
    </row>
    <row r="152" spans="1:23" x14ac:dyDescent="0.35">
      <c r="A152" s="305"/>
      <c r="B152" s="279" t="s">
        <v>163</v>
      </c>
      <c r="C152" s="279"/>
      <c r="D152" s="279"/>
      <c r="E152" s="279"/>
      <c r="F152" s="279"/>
      <c r="G152" s="279"/>
      <c r="H152" s="279"/>
      <c r="I152" s="279"/>
      <c r="J152" s="279"/>
      <c r="K152" s="279"/>
      <c r="L152" s="279"/>
      <c r="M152" s="279"/>
      <c r="N152" s="279"/>
      <c r="O152" s="279"/>
      <c r="P152" s="279"/>
      <c r="Q152" s="279"/>
      <c r="R152" s="279"/>
      <c r="S152" s="279"/>
      <c r="T152" s="333">
        <v>5750</v>
      </c>
      <c r="U152" s="282"/>
      <c r="V152" s="5"/>
    </row>
    <row r="153" spans="1:23" x14ac:dyDescent="0.35">
      <c r="A153" s="305"/>
      <c r="B153" s="279" t="s">
        <v>264</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183</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279" t="s">
        <v>335</v>
      </c>
      <c r="C155" s="279"/>
      <c r="D155" s="279"/>
      <c r="E155" s="279"/>
      <c r="F155" s="279"/>
      <c r="G155" s="279"/>
      <c r="H155" s="279"/>
      <c r="I155" s="279"/>
      <c r="J155" s="279"/>
      <c r="K155" s="279"/>
      <c r="L155" s="279"/>
      <c r="M155" s="279"/>
      <c r="N155" s="279"/>
      <c r="O155" s="279"/>
      <c r="P155" s="279"/>
      <c r="Q155" s="279"/>
      <c r="R155" s="279"/>
      <c r="S155" s="279"/>
      <c r="T155" s="333">
        <v>0</v>
      </c>
      <c r="U155" s="282"/>
      <c r="V155" s="5"/>
    </row>
    <row r="156" spans="1:23" x14ac:dyDescent="0.35">
      <c r="A156" s="305"/>
      <c r="B156" s="307"/>
      <c r="C156" s="307"/>
      <c r="D156" s="307"/>
      <c r="E156" s="307"/>
      <c r="F156" s="307"/>
      <c r="G156" s="307"/>
      <c r="H156" s="307"/>
      <c r="I156" s="307"/>
      <c r="J156" s="307"/>
      <c r="K156" s="307"/>
      <c r="L156" s="307"/>
      <c r="M156" s="307"/>
      <c r="N156" s="307"/>
      <c r="O156" s="307"/>
      <c r="P156" s="307"/>
      <c r="Q156" s="307"/>
      <c r="R156" s="307"/>
      <c r="S156" s="307"/>
      <c r="T156" s="339"/>
      <c r="U156" s="312"/>
      <c r="V156" s="5"/>
    </row>
    <row r="157" spans="1:23" x14ac:dyDescent="0.35">
      <c r="A157" s="174"/>
      <c r="B157" s="329"/>
      <c r="C157" s="329"/>
      <c r="D157" s="329"/>
      <c r="E157" s="329"/>
      <c r="F157" s="329"/>
      <c r="G157" s="329"/>
      <c r="H157" s="329"/>
      <c r="I157" s="329"/>
      <c r="J157" s="329"/>
      <c r="K157" s="329"/>
      <c r="L157" s="329"/>
      <c r="M157" s="329"/>
      <c r="N157" s="329"/>
      <c r="O157" s="329"/>
      <c r="P157" s="329"/>
      <c r="Q157" s="329"/>
      <c r="R157" s="329"/>
      <c r="S157" s="329"/>
      <c r="T157" s="342"/>
      <c r="U157" s="329"/>
      <c r="V157" s="5"/>
    </row>
    <row r="158" spans="1:23" x14ac:dyDescent="0.35">
      <c r="A158" s="174"/>
      <c r="B158" s="200" t="s">
        <v>24</v>
      </c>
      <c r="C158" s="176"/>
      <c r="D158" s="176"/>
      <c r="E158" s="176"/>
      <c r="F158" s="176"/>
      <c r="G158" s="176"/>
      <c r="H158" s="176"/>
      <c r="I158" s="176"/>
      <c r="J158" s="176"/>
      <c r="K158" s="176"/>
      <c r="L158" s="176"/>
      <c r="M158" s="176"/>
      <c r="N158" s="176"/>
      <c r="O158" s="176"/>
      <c r="P158" s="176"/>
      <c r="Q158" s="176"/>
      <c r="R158" s="176"/>
      <c r="S158" s="176"/>
      <c r="T158" s="193"/>
      <c r="U158" s="176"/>
      <c r="V158" s="5"/>
    </row>
    <row r="159" spans="1:23" x14ac:dyDescent="0.35">
      <c r="A159" s="278"/>
      <c r="B159" s="279" t="s">
        <v>49</v>
      </c>
      <c r="C159" s="279"/>
      <c r="D159" s="279"/>
      <c r="E159" s="279"/>
      <c r="F159" s="279"/>
      <c r="G159" s="279"/>
      <c r="H159" s="279"/>
      <c r="I159" s="279"/>
      <c r="J159" s="279"/>
      <c r="K159" s="279"/>
      <c r="L159" s="279"/>
      <c r="M159" s="279"/>
      <c r="N159" s="279"/>
      <c r="O159" s="279"/>
      <c r="P159" s="279"/>
      <c r="Q159" s="279"/>
      <c r="R159" s="279"/>
      <c r="S159" s="279"/>
      <c r="T159" s="341" t="s">
        <v>125</v>
      </c>
      <c r="U159" s="282"/>
      <c r="V159" s="5"/>
    </row>
    <row r="160" spans="1:23" x14ac:dyDescent="0.35">
      <c r="A160" s="278"/>
      <c r="B160" s="279" t="s">
        <v>50</v>
      </c>
      <c r="C160" s="281"/>
      <c r="D160" s="281"/>
      <c r="E160" s="281"/>
      <c r="F160" s="281"/>
      <c r="G160" s="281"/>
      <c r="H160" s="281"/>
      <c r="I160" s="281"/>
      <c r="J160" s="281"/>
      <c r="K160" s="281"/>
      <c r="L160" s="281"/>
      <c r="M160" s="281"/>
      <c r="N160" s="281"/>
      <c r="O160" s="281"/>
      <c r="P160" s="281"/>
      <c r="Q160" s="281"/>
      <c r="R160" s="281"/>
      <c r="S160" s="281"/>
      <c r="T160" s="341" t="s">
        <v>125</v>
      </c>
      <c r="U160" s="282"/>
      <c r="V160" s="5"/>
    </row>
    <row r="161" spans="1:22" x14ac:dyDescent="0.35">
      <c r="A161" s="278"/>
      <c r="B161" s="279" t="s">
        <v>51</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278"/>
      <c r="B162" s="279" t="s">
        <v>52</v>
      </c>
      <c r="C162" s="279"/>
      <c r="D162" s="279"/>
      <c r="E162" s="279"/>
      <c r="F162" s="279"/>
      <c r="G162" s="279"/>
      <c r="H162" s="279"/>
      <c r="I162" s="279"/>
      <c r="J162" s="279"/>
      <c r="K162" s="279"/>
      <c r="L162" s="279"/>
      <c r="M162" s="279"/>
      <c r="N162" s="279"/>
      <c r="O162" s="279"/>
      <c r="P162" s="279"/>
      <c r="Q162" s="279"/>
      <c r="R162" s="279"/>
      <c r="S162" s="279"/>
      <c r="T162" s="341" t="s">
        <v>125</v>
      </c>
      <c r="U162" s="282"/>
      <c r="V162" s="5"/>
    </row>
    <row r="163" spans="1:22" x14ac:dyDescent="0.35">
      <c r="A163" s="174"/>
      <c r="B163" s="329"/>
      <c r="C163" s="329"/>
      <c r="D163" s="329"/>
      <c r="E163" s="329"/>
      <c r="F163" s="329"/>
      <c r="G163" s="329"/>
      <c r="H163" s="329"/>
      <c r="I163" s="329"/>
      <c r="J163" s="329"/>
      <c r="K163" s="329"/>
      <c r="L163" s="329"/>
      <c r="M163" s="329"/>
      <c r="N163" s="329"/>
      <c r="O163" s="329"/>
      <c r="P163" s="329"/>
      <c r="Q163" s="329"/>
      <c r="R163" s="329"/>
      <c r="S163" s="329"/>
      <c r="T163" s="342"/>
      <c r="U163" s="329"/>
      <c r="V163" s="5"/>
    </row>
    <row r="164" spans="1:22" x14ac:dyDescent="0.35">
      <c r="A164" s="174"/>
      <c r="B164" s="200" t="s">
        <v>53</v>
      </c>
      <c r="C164" s="176"/>
      <c r="D164" s="176"/>
      <c r="E164" s="176"/>
      <c r="F164" s="176"/>
      <c r="G164" s="176"/>
      <c r="H164" s="176"/>
      <c r="I164" s="176"/>
      <c r="J164" s="176"/>
      <c r="K164" s="176"/>
      <c r="L164" s="176"/>
      <c r="M164" s="176"/>
      <c r="N164" s="176"/>
      <c r="O164" s="176"/>
      <c r="P164" s="176"/>
      <c r="Q164" s="176"/>
      <c r="R164" s="176"/>
      <c r="S164" s="176"/>
      <c r="T164" s="201"/>
      <c r="U164" s="176"/>
      <c r="V164" s="5"/>
    </row>
    <row r="165" spans="1:22" x14ac:dyDescent="0.35">
      <c r="A165" s="305"/>
      <c r="B165" s="279" t="s">
        <v>54</v>
      </c>
      <c r="C165" s="279"/>
      <c r="D165" s="279"/>
      <c r="E165" s="279"/>
      <c r="F165" s="279"/>
      <c r="G165" s="279"/>
      <c r="H165" s="279"/>
      <c r="I165" s="279"/>
      <c r="J165" s="279"/>
      <c r="K165" s="279"/>
      <c r="L165" s="279"/>
      <c r="M165" s="279"/>
      <c r="N165" s="279"/>
      <c r="O165" s="279"/>
      <c r="P165" s="279"/>
      <c r="Q165" s="279"/>
      <c r="R165" s="279"/>
      <c r="S165" s="279"/>
      <c r="T165" s="333">
        <v>0</v>
      </c>
      <c r="U165" s="282"/>
      <c r="V165" s="5"/>
    </row>
    <row r="166" spans="1:22" x14ac:dyDescent="0.35">
      <c r="A166" s="305"/>
      <c r="B166" s="279" t="s">
        <v>55</v>
      </c>
      <c r="C166" s="279"/>
      <c r="D166" s="279"/>
      <c r="E166" s="279"/>
      <c r="F166" s="279"/>
      <c r="G166" s="279"/>
      <c r="H166" s="279"/>
      <c r="I166" s="279"/>
      <c r="J166" s="279"/>
      <c r="K166" s="279"/>
      <c r="L166" s="279"/>
      <c r="M166" s="279"/>
      <c r="N166" s="279"/>
      <c r="O166" s="279"/>
      <c r="P166" s="279"/>
      <c r="Q166" s="279"/>
      <c r="R166" s="279"/>
      <c r="S166" s="279"/>
      <c r="T166" s="333">
        <v>38</v>
      </c>
      <c r="U166" s="282"/>
      <c r="V166" s="5"/>
    </row>
    <row r="167" spans="1:22" x14ac:dyDescent="0.35">
      <c r="A167" s="305"/>
      <c r="B167" s="279" t="s">
        <v>56</v>
      </c>
      <c r="C167" s="279"/>
      <c r="D167" s="279"/>
      <c r="E167" s="279"/>
      <c r="F167" s="279"/>
      <c r="G167" s="279"/>
      <c r="H167" s="279"/>
      <c r="I167" s="279"/>
      <c r="J167" s="279"/>
      <c r="K167" s="279"/>
      <c r="L167" s="279"/>
      <c r="M167" s="279"/>
      <c r="N167" s="279"/>
      <c r="O167" s="279"/>
      <c r="P167" s="279"/>
      <c r="Q167" s="279"/>
      <c r="R167" s="279"/>
      <c r="S167" s="279"/>
      <c r="T167" s="333">
        <f>T166+T165</f>
        <v>38</v>
      </c>
      <c r="U167" s="282"/>
      <c r="V167" s="5"/>
    </row>
    <row r="168" spans="1:22" x14ac:dyDescent="0.35">
      <c r="A168" s="305"/>
      <c r="B168" s="279" t="s">
        <v>314</v>
      </c>
      <c r="C168" s="279"/>
      <c r="D168" s="279"/>
      <c r="E168" s="279"/>
      <c r="F168" s="279"/>
      <c r="G168" s="279"/>
      <c r="H168" s="279"/>
      <c r="I168" s="279"/>
      <c r="J168" s="279"/>
      <c r="K168" s="279"/>
      <c r="L168" s="279"/>
      <c r="M168" s="279"/>
      <c r="N168" s="279"/>
      <c r="O168" s="279"/>
      <c r="P168" s="279"/>
      <c r="Q168" s="279"/>
      <c r="R168" s="279"/>
      <c r="S168" s="279"/>
      <c r="T168" s="333">
        <f>T115</f>
        <v>-38</v>
      </c>
      <c r="U168" s="282"/>
      <c r="V168" s="5"/>
    </row>
    <row r="169" spans="1:22" x14ac:dyDescent="0.35">
      <c r="A169" s="305"/>
      <c r="B169" s="279" t="s">
        <v>57</v>
      </c>
      <c r="C169" s="279"/>
      <c r="D169" s="279"/>
      <c r="E169" s="279"/>
      <c r="F169" s="279"/>
      <c r="G169" s="279"/>
      <c r="H169" s="279"/>
      <c r="I169" s="279"/>
      <c r="J169" s="279"/>
      <c r="K169" s="279"/>
      <c r="L169" s="279"/>
      <c r="M169" s="279"/>
      <c r="N169" s="279"/>
      <c r="O169" s="279"/>
      <c r="P169" s="279"/>
      <c r="Q169" s="279"/>
      <c r="R169" s="279"/>
      <c r="S169" s="279"/>
      <c r="T169" s="333">
        <f>T167+T168</f>
        <v>0</v>
      </c>
      <c r="U169" s="282"/>
      <c r="V169" s="5"/>
    </row>
    <row r="170" spans="1:22" x14ac:dyDescent="0.35">
      <c r="A170" s="305"/>
      <c r="B170" s="279" t="s">
        <v>285</v>
      </c>
      <c r="C170" s="279"/>
      <c r="D170" s="279"/>
      <c r="E170" s="279"/>
      <c r="F170" s="279"/>
      <c r="G170" s="279"/>
      <c r="H170" s="279"/>
      <c r="I170" s="279"/>
      <c r="J170" s="279"/>
      <c r="K170" s="279"/>
      <c r="L170" s="279"/>
      <c r="M170" s="279"/>
      <c r="N170" s="279"/>
      <c r="O170" s="279"/>
      <c r="P170" s="279"/>
      <c r="Q170" s="279"/>
      <c r="R170" s="279"/>
      <c r="S170" s="279"/>
      <c r="T170" s="333">
        <v>0</v>
      </c>
      <c r="U170" s="282"/>
      <c r="V170" s="5"/>
    </row>
    <row r="171" spans="1:22" ht="16" thickBot="1" x14ac:dyDescent="0.4">
      <c r="A171" s="174"/>
      <c r="B171" s="329"/>
      <c r="C171" s="329"/>
      <c r="D171" s="329"/>
      <c r="E171" s="329"/>
      <c r="F171" s="329"/>
      <c r="G171" s="329"/>
      <c r="H171" s="329"/>
      <c r="I171" s="329"/>
      <c r="J171" s="329"/>
      <c r="K171" s="329"/>
      <c r="L171" s="329"/>
      <c r="M171" s="329"/>
      <c r="N171" s="329"/>
      <c r="O171" s="329"/>
      <c r="P171" s="329"/>
      <c r="Q171" s="329"/>
      <c r="R171" s="329"/>
      <c r="S171" s="329"/>
      <c r="T171" s="342"/>
      <c r="U171" s="329"/>
      <c r="V171" s="5"/>
    </row>
    <row r="172" spans="1:22" x14ac:dyDescent="0.35">
      <c r="A172" s="172"/>
      <c r="B172" s="173"/>
      <c r="C172" s="173"/>
      <c r="D172" s="173"/>
      <c r="E172" s="173"/>
      <c r="F172" s="173"/>
      <c r="G172" s="173"/>
      <c r="H172" s="173"/>
      <c r="I172" s="173"/>
      <c r="J172" s="173"/>
      <c r="K172" s="173"/>
      <c r="L172" s="173"/>
      <c r="M172" s="173"/>
      <c r="N172" s="173"/>
      <c r="O172" s="173"/>
      <c r="P172" s="173"/>
      <c r="Q172" s="173"/>
      <c r="R172" s="173"/>
      <c r="S172" s="173"/>
      <c r="T172" s="192"/>
      <c r="U172" s="173"/>
      <c r="V172" s="5"/>
    </row>
    <row r="173" spans="1:22" x14ac:dyDescent="0.35">
      <c r="A173" s="174"/>
      <c r="B173" s="200" t="s">
        <v>58</v>
      </c>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174"/>
      <c r="B174" s="187"/>
      <c r="C174" s="176"/>
      <c r="D174" s="176"/>
      <c r="E174" s="176"/>
      <c r="F174" s="176"/>
      <c r="G174" s="176"/>
      <c r="H174" s="176"/>
      <c r="I174" s="176"/>
      <c r="J174" s="176"/>
      <c r="K174" s="176"/>
      <c r="L174" s="176"/>
      <c r="M174" s="176"/>
      <c r="N174" s="176"/>
      <c r="O174" s="176"/>
      <c r="P174" s="176"/>
      <c r="Q174" s="176"/>
      <c r="R174" s="176"/>
      <c r="S174" s="176"/>
      <c r="T174" s="193"/>
      <c r="U174" s="176"/>
      <c r="V174" s="5"/>
    </row>
    <row r="175" spans="1:22" x14ac:dyDescent="0.35">
      <c r="A175" s="305"/>
      <c r="B175" s="279" t="s">
        <v>59</v>
      </c>
      <c r="C175" s="279"/>
      <c r="D175" s="279"/>
      <c r="E175" s="279"/>
      <c r="F175" s="279"/>
      <c r="G175" s="279"/>
      <c r="H175" s="279"/>
      <c r="I175" s="279"/>
      <c r="J175" s="279"/>
      <c r="K175" s="279"/>
      <c r="L175" s="279"/>
      <c r="M175" s="279"/>
      <c r="N175" s="279"/>
      <c r="O175" s="279"/>
      <c r="P175" s="279"/>
      <c r="Q175" s="279"/>
      <c r="R175" s="279"/>
      <c r="S175" s="279"/>
      <c r="T175" s="333">
        <f>T71</f>
        <v>389269</v>
      </c>
      <c r="U175" s="282"/>
      <c r="V175" s="5"/>
    </row>
    <row r="176" spans="1:22" x14ac:dyDescent="0.35">
      <c r="A176" s="305"/>
      <c r="B176" s="279" t="s">
        <v>60</v>
      </c>
      <c r="C176" s="279"/>
      <c r="D176" s="279"/>
      <c r="E176" s="279"/>
      <c r="F176" s="279"/>
      <c r="G176" s="279"/>
      <c r="H176" s="279"/>
      <c r="I176" s="279"/>
      <c r="J176" s="279"/>
      <c r="K176" s="279"/>
      <c r="L176" s="279"/>
      <c r="M176" s="279"/>
      <c r="N176" s="279"/>
      <c r="O176" s="279"/>
      <c r="P176" s="279"/>
      <c r="Q176" s="279"/>
      <c r="R176" s="279"/>
      <c r="S176" s="279"/>
      <c r="T176" s="333">
        <f>T84</f>
        <v>389269</v>
      </c>
      <c r="U176" s="282"/>
      <c r="V176" s="5"/>
    </row>
    <row r="177" spans="1:22" ht="16" thickBot="1" x14ac:dyDescent="0.4">
      <c r="A177" s="174"/>
      <c r="B177" s="329"/>
      <c r="C177" s="329"/>
      <c r="D177" s="329"/>
      <c r="E177" s="329"/>
      <c r="F177" s="329"/>
      <c r="G177" s="329"/>
      <c r="H177" s="329"/>
      <c r="I177" s="329"/>
      <c r="J177" s="329"/>
      <c r="K177" s="329"/>
      <c r="L177" s="329"/>
      <c r="M177" s="329"/>
      <c r="N177" s="329"/>
      <c r="O177" s="329"/>
      <c r="P177" s="329"/>
      <c r="Q177" s="329"/>
      <c r="R177" s="329"/>
      <c r="S177" s="329"/>
      <c r="T177" s="342"/>
      <c r="U177" s="329"/>
      <c r="V177" s="5"/>
    </row>
    <row r="178" spans="1:22" x14ac:dyDescent="0.35">
      <c r="A178" s="172"/>
      <c r="B178" s="173"/>
      <c r="C178" s="173"/>
      <c r="D178" s="173"/>
      <c r="E178" s="173"/>
      <c r="F178" s="173"/>
      <c r="G178" s="173"/>
      <c r="H178" s="173"/>
      <c r="I178" s="173"/>
      <c r="J178" s="173"/>
      <c r="K178" s="173"/>
      <c r="L178" s="173"/>
      <c r="M178" s="173"/>
      <c r="N178" s="173"/>
      <c r="O178" s="173"/>
      <c r="P178" s="173"/>
      <c r="Q178" s="173"/>
      <c r="R178" s="173"/>
      <c r="S178" s="173"/>
      <c r="T178" s="192"/>
      <c r="U178" s="173"/>
      <c r="V178" s="5"/>
    </row>
    <row r="179" spans="1:22" x14ac:dyDescent="0.35">
      <c r="A179" s="174"/>
      <c r="B179" s="200" t="s">
        <v>61</v>
      </c>
      <c r="C179" s="197"/>
      <c r="D179" s="197"/>
      <c r="E179" s="197"/>
      <c r="F179" s="197"/>
      <c r="G179" s="197"/>
      <c r="H179" s="202"/>
      <c r="I179" s="202"/>
      <c r="J179" s="202"/>
      <c r="K179" s="202"/>
      <c r="L179" s="202"/>
      <c r="M179" s="202"/>
      <c r="N179" s="202"/>
      <c r="O179" s="202"/>
      <c r="P179" s="202"/>
      <c r="Q179" s="202" t="s">
        <v>105</v>
      </c>
      <c r="R179" s="202" t="s">
        <v>187</v>
      </c>
      <c r="S179" s="178"/>
      <c r="T179" s="203" t="s">
        <v>121</v>
      </c>
      <c r="U179" s="204"/>
      <c r="V179" s="5"/>
    </row>
    <row r="180" spans="1:22" x14ac:dyDescent="0.35">
      <c r="A180" s="305"/>
      <c r="B180" s="279" t="s">
        <v>62</v>
      </c>
      <c r="C180" s="279"/>
      <c r="D180" s="279"/>
      <c r="E180" s="279"/>
      <c r="F180" s="279"/>
      <c r="G180" s="279"/>
      <c r="H180" s="279"/>
      <c r="I180" s="279"/>
      <c r="J180" s="279"/>
      <c r="K180" s="279"/>
      <c r="L180" s="279"/>
      <c r="M180" s="279"/>
      <c r="N180" s="279"/>
      <c r="O180" s="279"/>
      <c r="P180" s="279"/>
      <c r="Q180" s="333">
        <f>+T34*0.16</f>
        <v>160056.48000000001</v>
      </c>
      <c r="R180" s="319"/>
      <c r="S180" s="279"/>
      <c r="T180" s="333"/>
      <c r="U180" s="282"/>
      <c r="V180" s="5"/>
    </row>
    <row r="181" spans="1:22" x14ac:dyDescent="0.35">
      <c r="A181" s="305"/>
      <c r="B181" s="279" t="s">
        <v>63</v>
      </c>
      <c r="C181" s="279"/>
      <c r="D181" s="279"/>
      <c r="E181" s="279"/>
      <c r="F181" s="279"/>
      <c r="G181" s="279"/>
      <c r="H181" s="279"/>
      <c r="I181" s="279"/>
      <c r="J181" s="279"/>
      <c r="K181" s="279"/>
      <c r="L181" s="279"/>
      <c r="M181" s="279"/>
      <c r="N181" s="279"/>
      <c r="O181" s="279"/>
      <c r="P181" s="279"/>
      <c r="Q181" s="333">
        <f>+'May 16'!Q183</f>
        <v>45412</v>
      </c>
      <c r="R181" s="333">
        <f>+'May 16'!R183</f>
        <v>5995</v>
      </c>
      <c r="S181" s="279"/>
      <c r="T181" s="333">
        <f>Q181+R181</f>
        <v>51407</v>
      </c>
      <c r="U181" s="282"/>
      <c r="V181" s="5"/>
    </row>
    <row r="182" spans="1:22" x14ac:dyDescent="0.35">
      <c r="A182" s="305"/>
      <c r="B182" s="279" t="s">
        <v>64</v>
      </c>
      <c r="C182" s="279"/>
      <c r="D182" s="279"/>
      <c r="E182" s="279"/>
      <c r="F182" s="279"/>
      <c r="G182" s="279"/>
      <c r="H182" s="279"/>
      <c r="I182" s="279"/>
      <c r="J182" s="279"/>
      <c r="K182" s="279"/>
      <c r="L182" s="279"/>
      <c r="M182" s="279"/>
      <c r="N182" s="279"/>
      <c r="O182" s="279"/>
      <c r="P182" s="279"/>
      <c r="Q182" s="332">
        <v>160</v>
      </c>
      <c r="R182" s="332">
        <v>0</v>
      </c>
      <c r="S182" s="279"/>
      <c r="T182" s="333">
        <f>Q182+R182</f>
        <v>160</v>
      </c>
      <c r="U182" s="282"/>
      <c r="V182" s="5"/>
    </row>
    <row r="183" spans="1:22" x14ac:dyDescent="0.35">
      <c r="A183" s="305"/>
      <c r="B183" s="279" t="s">
        <v>65</v>
      </c>
      <c r="C183" s="279"/>
      <c r="D183" s="279"/>
      <c r="E183" s="279"/>
      <c r="F183" s="279"/>
      <c r="G183" s="279"/>
      <c r="H183" s="279"/>
      <c r="I183" s="279"/>
      <c r="J183" s="279"/>
      <c r="K183" s="279"/>
      <c r="L183" s="279"/>
      <c r="M183" s="279"/>
      <c r="N183" s="279"/>
      <c r="O183" s="279"/>
      <c r="P183" s="279"/>
      <c r="Q183" s="333">
        <f>Q181+Q182</f>
        <v>45572</v>
      </c>
      <c r="R183" s="333">
        <f>R182+R181</f>
        <v>5995</v>
      </c>
      <c r="S183" s="279"/>
      <c r="T183" s="333">
        <f>Q183+R183</f>
        <v>51567</v>
      </c>
      <c r="U183" s="282"/>
      <c r="V183" s="5"/>
    </row>
    <row r="184" spans="1:22" x14ac:dyDescent="0.35">
      <c r="A184" s="305"/>
      <c r="B184" s="279" t="s">
        <v>66</v>
      </c>
      <c r="C184" s="279"/>
      <c r="D184" s="279"/>
      <c r="E184" s="279"/>
      <c r="F184" s="279"/>
      <c r="G184" s="279"/>
      <c r="H184" s="279"/>
      <c r="I184" s="279"/>
      <c r="J184" s="279"/>
      <c r="K184" s="279"/>
      <c r="L184" s="279"/>
      <c r="M184" s="279"/>
      <c r="N184" s="279"/>
      <c r="O184" s="279"/>
      <c r="P184" s="279"/>
      <c r="Q184" s="333">
        <f>Q180-Q183-R183</f>
        <v>108489.48000000001</v>
      </c>
      <c r="R184" s="319"/>
      <c r="S184" s="279"/>
      <c r="T184" s="333"/>
      <c r="U184" s="282"/>
      <c r="V184" s="5"/>
    </row>
    <row r="185" spans="1:22" ht="16" thickBot="1" x14ac:dyDescent="0.4">
      <c r="A185" s="174"/>
      <c r="B185" s="329"/>
      <c r="C185" s="329"/>
      <c r="D185" s="329"/>
      <c r="E185" s="329"/>
      <c r="F185" s="329"/>
      <c r="G185" s="329"/>
      <c r="H185" s="329"/>
      <c r="I185" s="329"/>
      <c r="J185" s="329"/>
      <c r="K185" s="329"/>
      <c r="L185" s="329"/>
      <c r="M185" s="329"/>
      <c r="N185" s="329"/>
      <c r="O185" s="329"/>
      <c r="P185" s="329"/>
      <c r="Q185" s="329"/>
      <c r="R185" s="329"/>
      <c r="S185" s="329"/>
      <c r="T185" s="342"/>
      <c r="U185" s="329"/>
      <c r="V185" s="5"/>
    </row>
    <row r="186" spans="1:22" x14ac:dyDescent="0.35">
      <c r="A186" s="172"/>
      <c r="B186" s="173"/>
      <c r="C186" s="173"/>
      <c r="D186" s="173"/>
      <c r="E186" s="173"/>
      <c r="F186" s="173"/>
      <c r="G186" s="173"/>
      <c r="H186" s="173"/>
      <c r="I186" s="173"/>
      <c r="J186" s="173"/>
      <c r="K186" s="173"/>
      <c r="L186" s="173"/>
      <c r="M186" s="173"/>
      <c r="N186" s="173"/>
      <c r="O186" s="173"/>
      <c r="P186" s="173"/>
      <c r="Q186" s="173"/>
      <c r="R186" s="173"/>
      <c r="S186" s="173"/>
      <c r="T186" s="192"/>
      <c r="U186" s="173"/>
      <c r="V186" s="5"/>
    </row>
    <row r="187" spans="1:22" x14ac:dyDescent="0.35">
      <c r="A187" s="174"/>
      <c r="B187" s="200" t="s">
        <v>67</v>
      </c>
      <c r="C187" s="176"/>
      <c r="D187" s="176"/>
      <c r="E187" s="176"/>
      <c r="F187" s="176"/>
      <c r="G187" s="176"/>
      <c r="H187" s="176"/>
      <c r="I187" s="176"/>
      <c r="J187" s="176"/>
      <c r="K187" s="176"/>
      <c r="L187" s="176"/>
      <c r="M187" s="176"/>
      <c r="N187" s="176"/>
      <c r="O187" s="176"/>
      <c r="P187" s="176"/>
      <c r="Q187" s="176"/>
      <c r="R187" s="176"/>
      <c r="S187" s="176"/>
      <c r="T187" s="205"/>
      <c r="U187" s="176"/>
      <c r="V187" s="5"/>
    </row>
    <row r="188" spans="1:22" x14ac:dyDescent="0.35">
      <c r="A188" s="305"/>
      <c r="B188" s="279" t="s">
        <v>68</v>
      </c>
      <c r="C188" s="279"/>
      <c r="D188" s="279"/>
      <c r="E188" s="279"/>
      <c r="F188" s="279"/>
      <c r="G188" s="279"/>
      <c r="H188" s="279"/>
      <c r="I188" s="279"/>
      <c r="J188" s="279"/>
      <c r="K188" s="279"/>
      <c r="L188" s="279"/>
      <c r="M188" s="279"/>
      <c r="N188" s="279"/>
      <c r="O188" s="279"/>
      <c r="P188" s="279"/>
      <c r="Q188" s="279"/>
      <c r="R188" s="279"/>
      <c r="S188" s="279"/>
      <c r="T188" s="341">
        <f>(T100+T102+T103+T104+T105+T106)/-(T107+T108)</f>
        <v>3.6405325443786984</v>
      </c>
      <c r="U188" s="282" t="s">
        <v>122</v>
      </c>
      <c r="V188" s="5"/>
    </row>
    <row r="189" spans="1:22" x14ac:dyDescent="0.35">
      <c r="A189" s="305"/>
      <c r="B189" s="279" t="s">
        <v>69</v>
      </c>
      <c r="C189" s="279"/>
      <c r="D189" s="279"/>
      <c r="E189" s="279"/>
      <c r="F189" s="279"/>
      <c r="G189" s="279"/>
      <c r="H189" s="279"/>
      <c r="I189" s="279"/>
      <c r="J189" s="279"/>
      <c r="K189" s="279"/>
      <c r="L189" s="279"/>
      <c r="M189" s="279"/>
      <c r="N189" s="279"/>
      <c r="O189" s="279"/>
      <c r="P189" s="279"/>
      <c r="Q189" s="279"/>
      <c r="R189" s="279"/>
      <c r="S189" s="279"/>
      <c r="T189" s="343">
        <v>1.74</v>
      </c>
      <c r="U189" s="282" t="s">
        <v>122</v>
      </c>
      <c r="V189" s="5"/>
    </row>
    <row r="190" spans="1:22" x14ac:dyDescent="0.35">
      <c r="A190" s="305"/>
      <c r="B190" s="279" t="s">
        <v>70</v>
      </c>
      <c r="C190" s="279"/>
      <c r="D190" s="279"/>
      <c r="E190" s="279"/>
      <c r="F190" s="279"/>
      <c r="G190" s="279"/>
      <c r="H190" s="279"/>
      <c r="I190" s="279"/>
      <c r="J190" s="279"/>
      <c r="K190" s="279"/>
      <c r="L190" s="279"/>
      <c r="M190" s="279"/>
      <c r="N190" s="279"/>
      <c r="O190" s="279"/>
      <c r="P190" s="279"/>
      <c r="Q190" s="279"/>
      <c r="R190" s="279"/>
      <c r="S190" s="279"/>
      <c r="T190" s="341">
        <f>(T100+T102+T103+T104+T105+T106+T107+T108)/-(T109+T110)</f>
        <v>17.850000000000001</v>
      </c>
      <c r="U190" s="282" t="s">
        <v>122</v>
      </c>
      <c r="V190" s="5"/>
    </row>
    <row r="191" spans="1:22" x14ac:dyDescent="0.35">
      <c r="A191" s="305"/>
      <c r="B191" s="279" t="s">
        <v>71</v>
      </c>
      <c r="C191" s="279"/>
      <c r="D191" s="279"/>
      <c r="E191" s="279"/>
      <c r="F191" s="279"/>
      <c r="G191" s="279"/>
      <c r="H191" s="279"/>
      <c r="I191" s="279"/>
      <c r="J191" s="279"/>
      <c r="K191" s="279"/>
      <c r="L191" s="279"/>
      <c r="M191" s="279"/>
      <c r="N191" s="279"/>
      <c r="O191" s="279"/>
      <c r="P191" s="279"/>
      <c r="Q191" s="279"/>
      <c r="R191" s="279"/>
      <c r="S191" s="279"/>
      <c r="T191" s="343">
        <v>9.32</v>
      </c>
      <c r="U191" s="282" t="s">
        <v>122</v>
      </c>
      <c r="V191" s="5"/>
    </row>
    <row r="192" spans="1:22" x14ac:dyDescent="0.35">
      <c r="A192" s="305"/>
      <c r="B192" s="279" t="s">
        <v>232</v>
      </c>
      <c r="C192" s="279"/>
      <c r="D192" s="279"/>
      <c r="E192" s="279"/>
      <c r="F192" s="279"/>
      <c r="G192" s="279"/>
      <c r="H192" s="279"/>
      <c r="I192" s="279"/>
      <c r="J192" s="279"/>
      <c r="K192" s="279"/>
      <c r="L192" s="279"/>
      <c r="M192" s="279"/>
      <c r="N192" s="279"/>
      <c r="O192" s="279"/>
      <c r="P192" s="279"/>
      <c r="Q192" s="279"/>
      <c r="R192" s="279"/>
      <c r="S192" s="279"/>
      <c r="T192" s="341">
        <f>(T100+T102+T103+T104+T105+T106+T107+T108+T109+T110)/-(T111+T112)</f>
        <v>7.079831932773109</v>
      </c>
      <c r="U192" s="282" t="s">
        <v>122</v>
      </c>
      <c r="V192" s="5"/>
    </row>
    <row r="193" spans="1:22" x14ac:dyDescent="0.35">
      <c r="A193" s="305"/>
      <c r="B193" s="279" t="s">
        <v>233</v>
      </c>
      <c r="C193" s="279"/>
      <c r="D193" s="279"/>
      <c r="E193" s="279"/>
      <c r="F193" s="279"/>
      <c r="G193" s="279"/>
      <c r="H193" s="279"/>
      <c r="I193" s="279"/>
      <c r="J193" s="279"/>
      <c r="K193" s="279"/>
      <c r="L193" s="279"/>
      <c r="M193" s="279"/>
      <c r="N193" s="279"/>
      <c r="O193" s="279"/>
      <c r="P193" s="279"/>
      <c r="Q193" s="279"/>
      <c r="R193" s="279"/>
      <c r="S193" s="279"/>
      <c r="T193" s="343">
        <v>4.51</v>
      </c>
      <c r="U193" s="282" t="s">
        <v>122</v>
      </c>
      <c r="V193" s="5"/>
    </row>
    <row r="194" spans="1:22" x14ac:dyDescent="0.35">
      <c r="A194" s="305"/>
      <c r="B194" s="307"/>
      <c r="C194" s="307"/>
      <c r="D194" s="307"/>
      <c r="E194" s="307"/>
      <c r="F194" s="307"/>
      <c r="G194" s="307"/>
      <c r="H194" s="307"/>
      <c r="I194" s="307"/>
      <c r="J194" s="307"/>
      <c r="K194" s="307"/>
      <c r="L194" s="307"/>
      <c r="M194" s="307"/>
      <c r="N194" s="307"/>
      <c r="O194" s="307"/>
      <c r="P194" s="307"/>
      <c r="Q194" s="307"/>
      <c r="R194" s="307"/>
      <c r="S194" s="307"/>
      <c r="T194" s="307"/>
      <c r="U194" s="312"/>
      <c r="V194" s="5"/>
    </row>
    <row r="195" spans="1:22" x14ac:dyDescent="0.35">
      <c r="A195" s="174"/>
      <c r="B195" s="329"/>
      <c r="C195" s="329"/>
      <c r="D195" s="329"/>
      <c r="E195" s="329"/>
      <c r="F195" s="329"/>
      <c r="G195" s="329"/>
      <c r="H195" s="329"/>
      <c r="I195" s="329"/>
      <c r="J195" s="329"/>
      <c r="K195" s="329"/>
      <c r="L195" s="329"/>
      <c r="M195" s="329"/>
      <c r="N195" s="329"/>
      <c r="O195" s="329"/>
      <c r="P195" s="329"/>
      <c r="Q195" s="329"/>
      <c r="R195" s="329"/>
      <c r="S195" s="329"/>
      <c r="T195" s="329"/>
      <c r="U195" s="329"/>
      <c r="V195" s="5"/>
    </row>
    <row r="196" spans="1:22" x14ac:dyDescent="0.35">
      <c r="A196" s="174"/>
      <c r="B196" s="176"/>
      <c r="C196" s="176"/>
      <c r="D196" s="176"/>
      <c r="E196" s="176"/>
      <c r="F196" s="176"/>
      <c r="G196" s="176"/>
      <c r="H196" s="176"/>
      <c r="I196" s="176"/>
      <c r="J196" s="176"/>
      <c r="K196" s="176"/>
      <c r="L196" s="176"/>
      <c r="M196" s="176"/>
      <c r="N196" s="176"/>
      <c r="O196" s="176"/>
      <c r="P196" s="176"/>
      <c r="Q196" s="176"/>
      <c r="R196" s="176"/>
      <c r="S196" s="176"/>
      <c r="T196" s="176"/>
      <c r="U196" s="176"/>
      <c r="V196" s="5"/>
    </row>
    <row r="197" spans="1:22" ht="18" thickBot="1" x14ac:dyDescent="0.4">
      <c r="A197" s="191"/>
      <c r="B197" s="233" t="str">
        <f>B136</f>
        <v>PM10 INVESTOR REPORT QUARTER ENDING AUGUST 2016</v>
      </c>
      <c r="C197" s="206"/>
      <c r="D197" s="206"/>
      <c r="E197" s="206"/>
      <c r="F197" s="206"/>
      <c r="G197" s="206"/>
      <c r="H197" s="206"/>
      <c r="I197" s="206"/>
      <c r="J197" s="206"/>
      <c r="K197" s="206"/>
      <c r="L197" s="206"/>
      <c r="M197" s="206"/>
      <c r="N197" s="206"/>
      <c r="O197" s="206"/>
      <c r="P197" s="206"/>
      <c r="Q197" s="206"/>
      <c r="R197" s="206"/>
      <c r="S197" s="206"/>
      <c r="T197" s="206"/>
      <c r="U197" s="207"/>
      <c r="V197" s="5"/>
    </row>
    <row r="198" spans="1:22" x14ac:dyDescent="0.35">
      <c r="A198" s="264"/>
      <c r="B198" s="389" t="s">
        <v>72</v>
      </c>
      <c r="C198" s="390"/>
      <c r="D198" s="390"/>
      <c r="E198" s="390"/>
      <c r="F198" s="390"/>
      <c r="G198" s="391"/>
      <c r="H198" s="391"/>
      <c r="I198" s="391"/>
      <c r="J198" s="391"/>
      <c r="K198" s="391"/>
      <c r="L198" s="391"/>
      <c r="M198" s="391"/>
      <c r="N198" s="391"/>
      <c r="O198" s="391"/>
      <c r="P198" s="391"/>
      <c r="Q198" s="391"/>
      <c r="R198" s="391">
        <v>42613</v>
      </c>
      <c r="S198" s="265"/>
      <c r="T198" s="265"/>
      <c r="U198" s="265"/>
      <c r="V198" s="5"/>
    </row>
    <row r="199" spans="1:22" x14ac:dyDescent="0.35">
      <c r="A199" s="208"/>
      <c r="B199" s="209"/>
      <c r="C199" s="210"/>
      <c r="D199" s="210"/>
      <c r="E199" s="210"/>
      <c r="F199" s="210"/>
      <c r="G199" s="211"/>
      <c r="H199" s="211"/>
      <c r="I199" s="211"/>
      <c r="J199" s="211"/>
      <c r="K199" s="211"/>
      <c r="L199" s="211"/>
      <c r="M199" s="211"/>
      <c r="N199" s="211"/>
      <c r="O199" s="211"/>
      <c r="P199" s="211"/>
      <c r="Q199" s="211"/>
      <c r="R199" s="211"/>
      <c r="S199" s="176"/>
      <c r="T199" s="176"/>
      <c r="U199" s="176"/>
      <c r="V199" s="5"/>
    </row>
    <row r="200" spans="1:22" x14ac:dyDescent="0.35">
      <c r="A200" s="346"/>
      <c r="B200" s="279" t="s">
        <v>73</v>
      </c>
      <c r="C200" s="347"/>
      <c r="D200" s="347"/>
      <c r="E200" s="347"/>
      <c r="F200" s="347"/>
      <c r="G200" s="324"/>
      <c r="H200" s="324"/>
      <c r="I200" s="324"/>
      <c r="J200" s="324"/>
      <c r="K200" s="324"/>
      <c r="L200" s="324"/>
      <c r="M200" s="324"/>
      <c r="N200" s="324"/>
      <c r="O200" s="324"/>
      <c r="P200" s="324"/>
      <c r="Q200" s="324"/>
      <c r="R200" s="315">
        <v>5.3960000000000001E-2</v>
      </c>
      <c r="S200" s="279"/>
      <c r="T200" s="279"/>
      <c r="U200" s="282"/>
      <c r="V200" s="5"/>
    </row>
    <row r="201" spans="1:22" x14ac:dyDescent="0.35">
      <c r="A201" s="346"/>
      <c r="B201" s="279" t="s">
        <v>159</v>
      </c>
      <c r="C201" s="347"/>
      <c r="D201" s="347"/>
      <c r="E201" s="347"/>
      <c r="F201" s="347"/>
      <c r="G201" s="324"/>
      <c r="H201" s="324"/>
      <c r="I201" s="324"/>
      <c r="J201" s="324"/>
      <c r="K201" s="324"/>
      <c r="L201" s="324"/>
      <c r="M201" s="324"/>
      <c r="N201" s="324"/>
      <c r="O201" s="324"/>
      <c r="P201" s="324"/>
      <c r="Q201" s="324"/>
      <c r="R201" s="315">
        <v>4.7399999999999998E-2</v>
      </c>
      <c r="S201" s="279"/>
      <c r="T201" s="279"/>
      <c r="U201" s="282"/>
      <c r="V201" s="5"/>
    </row>
    <row r="202" spans="1:22" x14ac:dyDescent="0.35">
      <c r="A202" s="346"/>
      <c r="B202" s="279" t="s">
        <v>74</v>
      </c>
      <c r="C202" s="347"/>
      <c r="D202" s="347"/>
      <c r="E202" s="347"/>
      <c r="F202" s="347"/>
      <c r="G202" s="324"/>
      <c r="H202" s="324"/>
      <c r="I202" s="324"/>
      <c r="J202" s="324"/>
      <c r="K202" s="324"/>
      <c r="L202" s="324"/>
      <c r="M202" s="324"/>
      <c r="N202" s="324"/>
      <c r="O202" s="324"/>
      <c r="P202" s="324"/>
      <c r="Q202" s="324"/>
      <c r="R202" s="315">
        <f>R200-R201</f>
        <v>6.5600000000000033E-3</v>
      </c>
      <c r="S202" s="279"/>
      <c r="T202" s="279"/>
      <c r="U202" s="282"/>
      <c r="V202" s="5"/>
    </row>
    <row r="203" spans="1:22" x14ac:dyDescent="0.35">
      <c r="A203" s="346"/>
      <c r="B203" s="279" t="s">
        <v>75</v>
      </c>
      <c r="C203" s="347"/>
      <c r="D203" s="347"/>
      <c r="E203" s="347"/>
      <c r="F203" s="347"/>
      <c r="G203" s="324"/>
      <c r="H203" s="324"/>
      <c r="I203" s="324"/>
      <c r="J203" s="324"/>
      <c r="K203" s="324"/>
      <c r="L203" s="324"/>
      <c r="M203" s="324"/>
      <c r="N203" s="324"/>
      <c r="O203" s="324"/>
      <c r="P203" s="324"/>
      <c r="Q203" s="324"/>
      <c r="R203" s="315">
        <v>2.283E-2</v>
      </c>
      <c r="S203" s="279"/>
      <c r="T203" s="279"/>
      <c r="U203" s="282"/>
      <c r="V203" s="5"/>
    </row>
    <row r="204" spans="1:22" x14ac:dyDescent="0.35">
      <c r="A204" s="346"/>
      <c r="B204" s="279" t="s">
        <v>262</v>
      </c>
      <c r="C204" s="347"/>
      <c r="D204" s="347"/>
      <c r="E204" s="347"/>
      <c r="F204" s="347"/>
      <c r="G204" s="324"/>
      <c r="H204" s="324"/>
      <c r="I204" s="324"/>
      <c r="J204" s="324"/>
      <c r="K204" s="324"/>
      <c r="L204" s="324"/>
      <c r="M204" s="324"/>
      <c r="N204" s="324"/>
      <c r="O204" s="324"/>
      <c r="P204" s="324"/>
      <c r="Q204" s="324"/>
      <c r="R204" s="315">
        <f>T43</f>
        <v>1.0189926528533854E-2</v>
      </c>
      <c r="S204" s="279"/>
      <c r="T204" s="279"/>
      <c r="U204" s="282"/>
      <c r="V204" s="5"/>
    </row>
    <row r="205" spans="1:22" x14ac:dyDescent="0.35">
      <c r="A205" s="346"/>
      <c r="B205" s="279" t="s">
        <v>76</v>
      </c>
      <c r="C205" s="347"/>
      <c r="D205" s="347"/>
      <c r="E205" s="347"/>
      <c r="F205" s="347"/>
      <c r="G205" s="324"/>
      <c r="H205" s="324"/>
      <c r="I205" s="324"/>
      <c r="J205" s="324"/>
      <c r="K205" s="324"/>
      <c r="L205" s="324"/>
      <c r="M205" s="324"/>
      <c r="N205" s="324"/>
      <c r="O205" s="324"/>
      <c r="P205" s="324"/>
      <c r="Q205" s="324"/>
      <c r="R205" s="315">
        <f>R203-R204</f>
        <v>1.2640073471466146E-2</v>
      </c>
      <c r="S205" s="279"/>
      <c r="T205" s="279"/>
      <c r="U205" s="282"/>
      <c r="V205" s="5"/>
    </row>
    <row r="206" spans="1:22" x14ac:dyDescent="0.35">
      <c r="A206" s="346"/>
      <c r="B206" s="279" t="s">
        <v>269</v>
      </c>
      <c r="C206" s="347"/>
      <c r="D206" s="347"/>
      <c r="E206" s="347"/>
      <c r="F206" s="347"/>
      <c r="G206" s="324"/>
      <c r="H206" s="324"/>
      <c r="I206" s="324"/>
      <c r="J206" s="324"/>
      <c r="K206" s="324"/>
      <c r="L206" s="324"/>
      <c r="M206" s="324"/>
      <c r="N206" s="324"/>
      <c r="O206" s="324"/>
      <c r="P206" s="324"/>
      <c r="Q206" s="324"/>
      <c r="R206" s="315">
        <f>+T100/L68</f>
        <v>6.9043100630635876E-3</v>
      </c>
      <c r="S206" s="279"/>
      <c r="T206" s="279"/>
      <c r="U206" s="282"/>
      <c r="V206" s="5"/>
    </row>
    <row r="207" spans="1:22" x14ac:dyDescent="0.35">
      <c r="A207" s="346"/>
      <c r="B207" s="279" t="s">
        <v>251</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252</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253</v>
      </c>
      <c r="C209" s="347"/>
      <c r="D209" s="347"/>
      <c r="E209" s="347"/>
      <c r="F209" s="347"/>
      <c r="G209" s="324"/>
      <c r="H209" s="324"/>
      <c r="I209" s="324"/>
      <c r="J209" s="324"/>
      <c r="K209" s="324"/>
      <c r="L209" s="324"/>
      <c r="M209" s="324"/>
      <c r="N209" s="324"/>
      <c r="O209" s="324"/>
      <c r="P209" s="324"/>
      <c r="Q209" s="324"/>
      <c r="R209" s="348">
        <v>51653</v>
      </c>
      <c r="S209" s="279"/>
      <c r="T209" s="279"/>
      <c r="U209" s="282"/>
      <c r="V209" s="5"/>
    </row>
    <row r="210" spans="1:22" x14ac:dyDescent="0.35">
      <c r="A210" s="346"/>
      <c r="B210" s="279" t="s">
        <v>77</v>
      </c>
      <c r="C210" s="347"/>
      <c r="D210" s="347"/>
      <c r="E210" s="347"/>
      <c r="F210" s="347"/>
      <c r="G210" s="324"/>
      <c r="H210" s="324"/>
      <c r="I210" s="324"/>
      <c r="J210" s="324"/>
      <c r="K210" s="324"/>
      <c r="L210" s="324"/>
      <c r="M210" s="324"/>
      <c r="N210" s="324"/>
      <c r="O210" s="324"/>
      <c r="P210" s="324"/>
      <c r="Q210" s="324"/>
      <c r="R210" s="321">
        <v>21.48</v>
      </c>
      <c r="S210" s="279" t="s">
        <v>117</v>
      </c>
      <c r="T210" s="279"/>
      <c r="U210" s="282"/>
      <c r="V210" s="5"/>
    </row>
    <row r="211" spans="1:22" x14ac:dyDescent="0.35">
      <c r="A211" s="346"/>
      <c r="B211" s="279" t="s">
        <v>78</v>
      </c>
      <c r="C211" s="347"/>
      <c r="D211" s="347"/>
      <c r="E211" s="347"/>
      <c r="F211" s="347"/>
      <c r="G211" s="324"/>
      <c r="H211" s="324"/>
      <c r="I211" s="324"/>
      <c r="J211" s="324"/>
      <c r="K211" s="324"/>
      <c r="L211" s="324"/>
      <c r="M211" s="324"/>
      <c r="N211" s="324"/>
      <c r="O211" s="324"/>
      <c r="P211" s="324"/>
      <c r="Q211" s="324"/>
      <c r="R211" s="321">
        <v>11.36</v>
      </c>
      <c r="S211" s="279" t="s">
        <v>117</v>
      </c>
      <c r="T211" s="279"/>
      <c r="U211" s="282"/>
      <c r="V211" s="5"/>
    </row>
    <row r="212" spans="1:22" x14ac:dyDescent="0.35">
      <c r="A212" s="346"/>
      <c r="B212" s="279" t="s">
        <v>79</v>
      </c>
      <c r="C212" s="347"/>
      <c r="D212" s="347"/>
      <c r="E212" s="347"/>
      <c r="F212" s="347"/>
      <c r="G212" s="324"/>
      <c r="H212" s="324"/>
      <c r="I212" s="324"/>
      <c r="J212" s="324"/>
      <c r="K212" s="324"/>
      <c r="L212" s="324"/>
      <c r="M212" s="324"/>
      <c r="N212" s="324"/>
      <c r="O212" s="324"/>
      <c r="P212" s="324"/>
      <c r="Q212" s="324"/>
      <c r="R212" s="315">
        <f>+N68/L68</f>
        <v>1.4117730521611124E-2</v>
      </c>
      <c r="S212" s="279"/>
      <c r="T212" s="279"/>
      <c r="U212" s="282"/>
      <c r="V212" s="5"/>
    </row>
    <row r="213" spans="1:22" x14ac:dyDescent="0.35">
      <c r="A213" s="346"/>
      <c r="B213" s="279" t="s">
        <v>80</v>
      </c>
      <c r="C213" s="347"/>
      <c r="D213" s="347"/>
      <c r="E213" s="347"/>
      <c r="F213" s="347"/>
      <c r="G213" s="324"/>
      <c r="H213" s="324"/>
      <c r="I213" s="324"/>
      <c r="J213" s="324"/>
      <c r="K213" s="324"/>
      <c r="L213" s="324"/>
      <c r="M213" s="324"/>
      <c r="N213" s="324"/>
      <c r="O213" s="324"/>
      <c r="P213" s="324"/>
      <c r="Q213" s="324"/>
      <c r="R213" s="315">
        <v>8.8900000000000007E-2</v>
      </c>
      <c r="S213" s="279"/>
      <c r="T213" s="279"/>
      <c r="U213" s="282"/>
      <c r="V213" s="5"/>
    </row>
    <row r="214" spans="1:22" x14ac:dyDescent="0.35">
      <c r="A214" s="208"/>
      <c r="B214" s="258"/>
      <c r="C214" s="258"/>
      <c r="D214" s="258"/>
      <c r="E214" s="258"/>
      <c r="F214" s="258"/>
      <c r="G214" s="258"/>
      <c r="H214" s="258"/>
      <c r="I214" s="258"/>
      <c r="J214" s="258"/>
      <c r="K214" s="258"/>
      <c r="L214" s="258"/>
      <c r="M214" s="258"/>
      <c r="N214" s="258"/>
      <c r="O214" s="258"/>
      <c r="P214" s="258"/>
      <c r="Q214" s="258"/>
      <c r="R214" s="344"/>
      <c r="S214" s="258"/>
      <c r="T214" s="345"/>
      <c r="U214" s="258"/>
      <c r="V214" s="5"/>
    </row>
    <row r="215" spans="1:22" x14ac:dyDescent="0.35">
      <c r="A215" s="270"/>
      <c r="B215" s="385" t="s">
        <v>81</v>
      </c>
      <c r="C215" s="386"/>
      <c r="D215" s="386"/>
      <c r="E215" s="386"/>
      <c r="F215" s="392"/>
      <c r="G215" s="386"/>
      <c r="H215" s="386"/>
      <c r="I215" s="386"/>
      <c r="J215" s="386"/>
      <c r="K215" s="386"/>
      <c r="L215" s="386"/>
      <c r="M215" s="386"/>
      <c r="N215" s="386"/>
      <c r="O215" s="386"/>
      <c r="P215" s="386"/>
      <c r="Q215" s="386" t="s">
        <v>106</v>
      </c>
      <c r="R215" s="392" t="s">
        <v>113</v>
      </c>
      <c r="S215" s="253"/>
      <c r="T215" s="253"/>
      <c r="U215" s="253"/>
      <c r="V215" s="5"/>
    </row>
    <row r="216" spans="1:22" x14ac:dyDescent="0.35">
      <c r="A216" s="212"/>
      <c r="B216" s="224" t="s">
        <v>82</v>
      </c>
      <c r="C216" s="227"/>
      <c r="D216" s="227"/>
      <c r="E216" s="227"/>
      <c r="F216" s="224"/>
      <c r="G216" s="224"/>
      <c r="H216" s="226"/>
      <c r="I216" s="226"/>
      <c r="J216" s="226"/>
      <c r="K216" s="226"/>
      <c r="L216" s="226"/>
      <c r="M216" s="226"/>
      <c r="N216" s="226"/>
      <c r="O216" s="226"/>
      <c r="P216" s="226"/>
      <c r="Q216" s="226">
        <v>0</v>
      </c>
      <c r="R216" s="241">
        <v>0</v>
      </c>
      <c r="S216" s="224"/>
      <c r="T216" s="240"/>
      <c r="U216" s="242"/>
      <c r="V216" s="5"/>
    </row>
    <row r="217" spans="1:22" x14ac:dyDescent="0.35">
      <c r="A217" s="356"/>
      <c r="B217" s="279" t="s">
        <v>152</v>
      </c>
      <c r="C217" s="332"/>
      <c r="D217" s="332"/>
      <c r="E217" s="332"/>
      <c r="F217" s="279"/>
      <c r="G217" s="279"/>
      <c r="H217" s="287"/>
      <c r="I217" s="287"/>
      <c r="J217" s="287"/>
      <c r="K217" s="287"/>
      <c r="L217" s="287"/>
      <c r="M217" s="287"/>
      <c r="N217" s="287"/>
      <c r="O217" s="287"/>
      <c r="P217" s="287"/>
      <c r="Q217" s="357">
        <f>+P269</f>
        <v>78</v>
      </c>
      <c r="R217" s="358">
        <f>+R269</f>
        <v>12878</v>
      </c>
      <c r="S217" s="279"/>
      <c r="T217" s="359"/>
      <c r="U217" s="360"/>
      <c r="V217" s="5"/>
    </row>
    <row r="218" spans="1:22" x14ac:dyDescent="0.35">
      <c r="A218" s="356"/>
      <c r="B218" s="279" t="s">
        <v>83</v>
      </c>
      <c r="C218" s="332"/>
      <c r="D218" s="332"/>
      <c r="E218" s="332"/>
      <c r="F218" s="279"/>
      <c r="G218" s="279"/>
      <c r="H218" s="287"/>
      <c r="I218" s="287"/>
      <c r="J218" s="287"/>
      <c r="K218" s="287"/>
      <c r="L218" s="287"/>
      <c r="M218" s="287"/>
      <c r="N218" s="287"/>
      <c r="O218" s="287"/>
      <c r="P218" s="287"/>
      <c r="Q218" s="287">
        <v>0</v>
      </c>
      <c r="R218" s="358">
        <v>0</v>
      </c>
      <c r="S218" s="279"/>
      <c r="T218" s="359"/>
      <c r="U218" s="360"/>
      <c r="V218" s="5"/>
    </row>
    <row r="219" spans="1:22" x14ac:dyDescent="0.35">
      <c r="A219" s="356"/>
      <c r="B219" s="306" t="s">
        <v>84</v>
      </c>
      <c r="C219" s="361"/>
      <c r="D219" s="361"/>
      <c r="E219" s="361"/>
      <c r="F219" s="307"/>
      <c r="G219" s="307"/>
      <c r="H219" s="307"/>
      <c r="I219" s="307"/>
      <c r="J219" s="307"/>
      <c r="K219" s="307"/>
      <c r="L219" s="307"/>
      <c r="M219" s="307"/>
      <c r="N219" s="307"/>
      <c r="O219" s="307"/>
      <c r="P219" s="307"/>
      <c r="Q219" s="279"/>
      <c r="R219" s="358">
        <v>0</v>
      </c>
      <c r="S219" s="307"/>
      <c r="T219" s="362"/>
      <c r="U219" s="363"/>
      <c r="V219" s="5"/>
    </row>
    <row r="220" spans="1:22" x14ac:dyDescent="0.35">
      <c r="A220" s="356"/>
      <c r="B220" s="306" t="s">
        <v>85</v>
      </c>
      <c r="C220" s="361"/>
      <c r="D220" s="361"/>
      <c r="E220" s="361"/>
      <c r="F220" s="307"/>
      <c r="G220" s="307"/>
      <c r="H220" s="307"/>
      <c r="I220" s="307"/>
      <c r="J220" s="307"/>
      <c r="K220" s="307"/>
      <c r="L220" s="307"/>
      <c r="M220" s="307"/>
      <c r="N220" s="307"/>
      <c r="O220" s="307"/>
      <c r="P220" s="307"/>
      <c r="Q220" s="279"/>
      <c r="R220" s="364" t="s">
        <v>114</v>
      </c>
      <c r="S220" s="307"/>
      <c r="T220" s="362"/>
      <c r="U220" s="363"/>
      <c r="V220" s="5"/>
    </row>
    <row r="221" spans="1:22" x14ac:dyDescent="0.35">
      <c r="A221" s="365"/>
      <c r="B221" s="306" t="s">
        <v>86</v>
      </c>
      <c r="C221" s="366"/>
      <c r="D221" s="366"/>
      <c r="E221" s="366"/>
      <c r="F221" s="366"/>
      <c r="G221" s="307"/>
      <c r="H221" s="307"/>
      <c r="I221" s="307"/>
      <c r="J221" s="307"/>
      <c r="K221" s="307"/>
      <c r="L221" s="307"/>
      <c r="M221" s="307"/>
      <c r="N221" s="307"/>
      <c r="O221" s="307"/>
      <c r="P221" s="307"/>
      <c r="Q221" s="279"/>
      <c r="R221" s="358"/>
      <c r="S221" s="307"/>
      <c r="T221" s="362"/>
      <c r="U221" s="367"/>
      <c r="V221" s="5"/>
    </row>
    <row r="222" spans="1:22" x14ac:dyDescent="0.35">
      <c r="A222" s="365"/>
      <c r="B222" s="279" t="s">
        <v>87</v>
      </c>
      <c r="C222" s="366"/>
      <c r="D222" s="366"/>
      <c r="E222" s="366"/>
      <c r="F222" s="366"/>
      <c r="G222" s="307"/>
      <c r="H222" s="307"/>
      <c r="I222" s="307"/>
      <c r="J222" s="307"/>
      <c r="K222" s="307"/>
      <c r="L222" s="307"/>
      <c r="M222" s="307"/>
      <c r="N222" s="307"/>
      <c r="O222" s="307"/>
      <c r="P222" s="307"/>
      <c r="Q222" s="287"/>
      <c r="R222" s="358">
        <f>+T166</f>
        <v>38</v>
      </c>
      <c r="S222" s="307"/>
      <c r="T222" s="362"/>
      <c r="U222" s="367"/>
      <c r="V222" s="5"/>
    </row>
    <row r="223" spans="1:22" x14ac:dyDescent="0.35">
      <c r="A223" s="356"/>
      <c r="B223" s="279" t="s">
        <v>88</v>
      </c>
      <c r="C223" s="361"/>
      <c r="D223" s="361"/>
      <c r="E223" s="361"/>
      <c r="F223" s="361"/>
      <c r="G223" s="307"/>
      <c r="H223" s="307"/>
      <c r="I223" s="307"/>
      <c r="J223" s="307"/>
      <c r="K223" s="307"/>
      <c r="L223" s="307"/>
      <c r="M223" s="307"/>
      <c r="N223" s="307"/>
      <c r="O223" s="307"/>
      <c r="P223" s="307"/>
      <c r="Q223" s="358"/>
      <c r="R223" s="358">
        <f>'May 16'!R223+R222</f>
        <v>6516</v>
      </c>
      <c r="S223" s="307"/>
      <c r="T223" s="362"/>
      <c r="U223" s="367"/>
      <c r="V223" s="5"/>
    </row>
    <row r="224" spans="1:22" x14ac:dyDescent="0.35">
      <c r="A224" s="365"/>
      <c r="B224" s="306" t="s">
        <v>295</v>
      </c>
      <c r="C224" s="366"/>
      <c r="D224" s="366"/>
      <c r="E224" s="366"/>
      <c r="F224" s="366"/>
      <c r="G224" s="307"/>
      <c r="H224" s="307"/>
      <c r="I224" s="307"/>
      <c r="J224" s="307"/>
      <c r="K224" s="307"/>
      <c r="L224" s="307"/>
      <c r="M224" s="307"/>
      <c r="N224" s="307"/>
      <c r="O224" s="307"/>
      <c r="P224" s="307"/>
      <c r="Q224" s="287"/>
      <c r="R224" s="358"/>
      <c r="S224" s="307"/>
      <c r="T224" s="362"/>
      <c r="U224" s="367"/>
      <c r="V224" s="5"/>
    </row>
    <row r="225" spans="1:23" x14ac:dyDescent="0.35">
      <c r="A225" s="365"/>
      <c r="B225" s="279" t="s">
        <v>292</v>
      </c>
      <c r="C225" s="366"/>
      <c r="D225" s="366"/>
      <c r="E225" s="366"/>
      <c r="F225" s="366"/>
      <c r="G225" s="307"/>
      <c r="H225" s="307"/>
      <c r="I225" s="307"/>
      <c r="J225" s="307"/>
      <c r="K225" s="307"/>
      <c r="L225" s="307"/>
      <c r="M225" s="307"/>
      <c r="N225" s="307"/>
      <c r="O225" s="307"/>
      <c r="P225" s="307"/>
      <c r="Q225" s="287">
        <v>0</v>
      </c>
      <c r="R225" s="358">
        <v>0</v>
      </c>
      <c r="S225" s="307"/>
      <c r="T225" s="362"/>
      <c r="U225" s="367"/>
      <c r="V225" s="5"/>
    </row>
    <row r="226" spans="1:23" x14ac:dyDescent="0.35">
      <c r="A226" s="356"/>
      <c r="B226" s="279" t="s">
        <v>90</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279" t="s">
        <v>91</v>
      </c>
      <c r="C227" s="368"/>
      <c r="D227" s="368"/>
      <c r="E227" s="368"/>
      <c r="F227" s="369"/>
      <c r="G227" s="307"/>
      <c r="H227" s="307"/>
      <c r="I227" s="307"/>
      <c r="J227" s="307"/>
      <c r="K227" s="307"/>
      <c r="L227" s="307"/>
      <c r="M227" s="307"/>
      <c r="N227" s="307"/>
      <c r="O227" s="307"/>
      <c r="P227" s="307"/>
      <c r="Q227" s="279"/>
      <c r="R227" s="364">
        <v>0</v>
      </c>
      <c r="S227" s="307"/>
      <c r="T227" s="362"/>
      <c r="U227" s="367"/>
      <c r="V227" s="5"/>
    </row>
    <row r="228" spans="1:23" x14ac:dyDescent="0.35">
      <c r="A228" s="356"/>
      <c r="B228" s="306" t="s">
        <v>260</v>
      </c>
      <c r="C228" s="368"/>
      <c r="D228" s="368"/>
      <c r="E228" s="368"/>
      <c r="F228" s="369"/>
      <c r="G228" s="307"/>
      <c r="H228" s="307"/>
      <c r="I228" s="307"/>
      <c r="J228" s="307"/>
      <c r="K228" s="307"/>
      <c r="L228" s="307"/>
      <c r="M228" s="307"/>
      <c r="N228" s="307"/>
      <c r="O228" s="307"/>
      <c r="P228" s="307"/>
      <c r="Q228" s="279"/>
      <c r="R228" s="370"/>
      <c r="S228" s="307"/>
      <c r="T228" s="362"/>
      <c r="U228" s="367"/>
      <c r="V228" s="5"/>
    </row>
    <row r="229" spans="1:23" x14ac:dyDescent="0.35">
      <c r="A229" s="356"/>
      <c r="B229" s="279" t="s">
        <v>292</v>
      </c>
      <c r="C229" s="368"/>
      <c r="D229" s="368"/>
      <c r="E229" s="368"/>
      <c r="F229" s="369"/>
      <c r="G229" s="307"/>
      <c r="H229" s="307"/>
      <c r="I229" s="307"/>
      <c r="J229" s="307"/>
      <c r="K229" s="307"/>
      <c r="L229" s="307"/>
      <c r="M229" s="307"/>
      <c r="N229" s="307"/>
      <c r="O229" s="307"/>
      <c r="P229" s="307"/>
      <c r="Q229" s="287">
        <v>3</v>
      </c>
      <c r="R229" s="358">
        <v>267</v>
      </c>
      <c r="S229" s="307"/>
      <c r="T229" s="362"/>
      <c r="U229" s="367"/>
      <c r="V229" s="5"/>
    </row>
    <row r="230" spans="1:23" x14ac:dyDescent="0.35">
      <c r="A230" s="356"/>
      <c r="B230" s="279" t="s">
        <v>261</v>
      </c>
      <c r="C230" s="368"/>
      <c r="D230" s="368"/>
      <c r="E230" s="368"/>
      <c r="F230" s="369"/>
      <c r="G230" s="307"/>
      <c r="H230" s="307"/>
      <c r="I230" s="307"/>
      <c r="J230" s="307"/>
      <c r="K230" s="307"/>
      <c r="L230" s="307"/>
      <c r="M230" s="307"/>
      <c r="N230" s="307"/>
      <c r="O230" s="307"/>
      <c r="P230" s="307"/>
      <c r="Q230" s="279"/>
      <c r="R230" s="364">
        <v>0</v>
      </c>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279"/>
      <c r="R231" s="370"/>
      <c r="S231" s="307"/>
      <c r="T231" s="362"/>
      <c r="U231" s="367"/>
      <c r="V231" s="5"/>
    </row>
    <row r="232" spans="1:23" x14ac:dyDescent="0.35">
      <c r="A232" s="356"/>
      <c r="B232" s="366"/>
      <c r="C232" s="368"/>
      <c r="D232" s="368"/>
      <c r="E232" s="368"/>
      <c r="F232" s="369"/>
      <c r="G232" s="307"/>
      <c r="H232" s="307"/>
      <c r="I232" s="307"/>
      <c r="J232" s="307"/>
      <c r="K232" s="307"/>
      <c r="L232" s="307"/>
      <c r="M232" s="307"/>
      <c r="N232" s="307"/>
      <c r="O232" s="307"/>
      <c r="P232" s="307"/>
      <c r="Q232" s="307"/>
      <c r="R232" s="371"/>
      <c r="S232" s="307"/>
      <c r="T232" s="362"/>
      <c r="U232" s="367"/>
      <c r="V232" s="5"/>
    </row>
    <row r="233" spans="1:23" ht="17.5" x14ac:dyDescent="0.35">
      <c r="A233" s="356"/>
      <c r="B233" s="372" t="s">
        <v>178</v>
      </c>
      <c r="C233" s="368"/>
      <c r="D233" s="368"/>
      <c r="E233" s="368"/>
      <c r="F233" s="369"/>
      <c r="G233" s="307"/>
      <c r="H233" s="307"/>
      <c r="I233" s="307"/>
      <c r="J233" s="307"/>
      <c r="K233" s="307"/>
      <c r="L233" s="307"/>
      <c r="M233" s="307"/>
      <c r="N233" s="373" t="s">
        <v>177</v>
      </c>
      <c r="O233" s="307"/>
      <c r="P233" s="307"/>
      <c r="Q233" s="307"/>
      <c r="R233" s="371"/>
      <c r="S233" s="307"/>
      <c r="T233" s="362"/>
      <c r="U233" s="367"/>
      <c r="V233" s="5"/>
    </row>
    <row r="234" spans="1:23" x14ac:dyDescent="0.35">
      <c r="A234" s="349"/>
      <c r="B234" s="350"/>
      <c r="C234" s="351"/>
      <c r="D234" s="351"/>
      <c r="E234" s="351"/>
      <c r="F234" s="352"/>
      <c r="G234" s="329"/>
      <c r="H234" s="329"/>
      <c r="I234" s="329"/>
      <c r="J234" s="329"/>
      <c r="K234" s="329"/>
      <c r="L234" s="329"/>
      <c r="M234" s="329"/>
      <c r="N234" s="329"/>
      <c r="O234" s="329"/>
      <c r="P234" s="329"/>
      <c r="Q234" s="329"/>
      <c r="R234" s="353"/>
      <c r="S234" s="329"/>
      <c r="T234" s="354"/>
      <c r="U234" s="355"/>
      <c r="V234" s="5"/>
    </row>
    <row r="235" spans="1:23" x14ac:dyDescent="0.35">
      <c r="A235" s="252"/>
      <c r="B235" s="385" t="s">
        <v>307</v>
      </c>
      <c r="C235" s="386"/>
      <c r="D235" s="386"/>
      <c r="E235" s="386"/>
      <c r="F235" s="392"/>
      <c r="G235" s="386"/>
      <c r="H235" s="386"/>
      <c r="I235" s="386"/>
      <c r="J235" s="386"/>
      <c r="K235" s="386"/>
      <c r="L235" s="386"/>
      <c r="M235" s="386"/>
      <c r="N235" s="386"/>
      <c r="O235" s="386"/>
      <c r="P235" s="392" t="s">
        <v>106</v>
      </c>
      <c r="Q235" s="386" t="s">
        <v>107</v>
      </c>
      <c r="R235" s="392" t="s">
        <v>115</v>
      </c>
      <c r="S235" s="386" t="s">
        <v>107</v>
      </c>
      <c r="T235" s="253"/>
      <c r="U235" s="385"/>
      <c r="V235" s="5"/>
    </row>
    <row r="236" spans="1:23" x14ac:dyDescent="0.35">
      <c r="A236" s="190"/>
      <c r="B236" s="227" t="s">
        <v>92</v>
      </c>
      <c r="C236" s="243"/>
      <c r="D236" s="243"/>
      <c r="E236" s="243"/>
      <c r="F236" s="224"/>
      <c r="G236" s="243"/>
      <c r="H236" s="243"/>
      <c r="I236" s="243"/>
      <c r="J236" s="243"/>
      <c r="K236" s="243"/>
      <c r="L236" s="243"/>
      <c r="M236" s="243"/>
      <c r="N236" s="243"/>
      <c r="O236" s="243"/>
      <c r="P236" s="227">
        <f t="shared" ref="P236:P243" si="1">+P248+P260+P272</f>
        <v>2896</v>
      </c>
      <c r="Q236" s="378">
        <f t="shared" ref="Q236:Q243" si="2">P236/$P$245</f>
        <v>0.99621603027175787</v>
      </c>
      <c r="R236" s="237">
        <f t="shared" ref="R236:R243" si="3">+R248+R260+R272</f>
        <v>388315</v>
      </c>
      <c r="S236" s="378">
        <f t="shared" ref="S236:S243" si="4">R236/$R$245</f>
        <v>0.9975492525734132</v>
      </c>
      <c r="T236" s="240"/>
      <c r="U236" s="225"/>
      <c r="V236" s="5"/>
    </row>
    <row r="237" spans="1:23" x14ac:dyDescent="0.35">
      <c r="A237" s="305"/>
      <c r="B237" s="332" t="s">
        <v>93</v>
      </c>
      <c r="C237" s="377"/>
      <c r="D237" s="377"/>
      <c r="E237" s="377"/>
      <c r="F237" s="279"/>
      <c r="G237" s="378"/>
      <c r="H237" s="377"/>
      <c r="I237" s="377"/>
      <c r="J237" s="377"/>
      <c r="K237" s="377"/>
      <c r="L237" s="377"/>
      <c r="M237" s="377"/>
      <c r="N237" s="377"/>
      <c r="O237" s="377"/>
      <c r="P237" s="332">
        <f t="shared" si="1"/>
        <v>3</v>
      </c>
      <c r="Q237" s="378">
        <f t="shared" si="2"/>
        <v>1.0319917440660474E-3</v>
      </c>
      <c r="R237" s="333">
        <f t="shared" si="3"/>
        <v>221</v>
      </c>
      <c r="S237" s="378">
        <f t="shared" si="4"/>
        <v>5.6773079798288584E-4</v>
      </c>
      <c r="T237" s="359"/>
      <c r="U237" s="379"/>
      <c r="V237" s="5"/>
      <c r="W237" s="109"/>
    </row>
    <row r="238" spans="1:23" x14ac:dyDescent="0.35">
      <c r="A238" s="305"/>
      <c r="B238" s="332" t="s">
        <v>94</v>
      </c>
      <c r="C238" s="377"/>
      <c r="D238" s="377"/>
      <c r="E238" s="377"/>
      <c r="F238" s="279"/>
      <c r="G238" s="378"/>
      <c r="H238" s="377"/>
      <c r="I238" s="377"/>
      <c r="J238" s="377"/>
      <c r="K238" s="377"/>
      <c r="L238" s="377"/>
      <c r="M238" s="377"/>
      <c r="N238" s="377"/>
      <c r="O238" s="377"/>
      <c r="P238" s="332">
        <f t="shared" si="1"/>
        <v>3</v>
      </c>
      <c r="Q238" s="378">
        <f t="shared" si="2"/>
        <v>1.0319917440660474E-3</v>
      </c>
      <c r="R238" s="333">
        <f t="shared" si="3"/>
        <v>298</v>
      </c>
      <c r="S238" s="378">
        <f t="shared" si="4"/>
        <v>7.6553745610361988E-4</v>
      </c>
      <c r="T238" s="359"/>
      <c r="U238" s="379"/>
      <c r="V238" s="5"/>
    </row>
    <row r="239" spans="1:23" x14ac:dyDescent="0.35">
      <c r="A239" s="305"/>
      <c r="B239" s="332" t="s">
        <v>164</v>
      </c>
      <c r="C239" s="377"/>
      <c r="D239" s="377"/>
      <c r="E239" s="377"/>
      <c r="F239" s="279"/>
      <c r="G239" s="378"/>
      <c r="H239" s="377"/>
      <c r="I239" s="377"/>
      <c r="J239" s="377"/>
      <c r="K239" s="377"/>
      <c r="L239" s="377"/>
      <c r="M239" s="377"/>
      <c r="N239" s="377"/>
      <c r="O239" s="377"/>
      <c r="P239" s="332">
        <f t="shared" si="1"/>
        <v>2</v>
      </c>
      <c r="Q239" s="378">
        <f t="shared" si="2"/>
        <v>6.8799449604403163E-4</v>
      </c>
      <c r="R239" s="333">
        <f t="shared" si="3"/>
        <v>35</v>
      </c>
      <c r="S239" s="378">
        <f t="shared" si="4"/>
        <v>8.991211732760636E-5</v>
      </c>
      <c r="T239" s="359"/>
      <c r="U239" s="379"/>
      <c r="V239" s="5"/>
      <c r="W239" s="109"/>
    </row>
    <row r="240" spans="1:23" x14ac:dyDescent="0.35">
      <c r="A240" s="305"/>
      <c r="B240" s="332" t="s">
        <v>165</v>
      </c>
      <c r="C240" s="377"/>
      <c r="D240" s="377"/>
      <c r="E240" s="377"/>
      <c r="F240" s="279"/>
      <c r="G240" s="378"/>
      <c r="H240" s="377"/>
      <c r="I240" s="377"/>
      <c r="J240" s="377"/>
      <c r="K240" s="377"/>
      <c r="L240" s="377"/>
      <c r="M240" s="377"/>
      <c r="N240" s="377"/>
      <c r="O240" s="377"/>
      <c r="P240" s="332">
        <f t="shared" si="1"/>
        <v>2</v>
      </c>
      <c r="Q240" s="378">
        <f t="shared" si="2"/>
        <v>6.8799449604403163E-4</v>
      </c>
      <c r="R240" s="333">
        <f t="shared" si="3"/>
        <v>263</v>
      </c>
      <c r="S240" s="378">
        <f t="shared" si="4"/>
        <v>6.7562533877601355E-4</v>
      </c>
      <c r="T240" s="359"/>
      <c r="U240" s="379"/>
      <c r="V240" s="5"/>
    </row>
    <row r="241" spans="1:23" x14ac:dyDescent="0.35">
      <c r="A241" s="305"/>
      <c r="B241" s="332" t="s">
        <v>166</v>
      </c>
      <c r="C241" s="377"/>
      <c r="D241" s="377"/>
      <c r="E241" s="377"/>
      <c r="F241" s="279"/>
      <c r="G241" s="378"/>
      <c r="H241" s="377"/>
      <c r="I241" s="377"/>
      <c r="J241" s="377"/>
      <c r="K241" s="377"/>
      <c r="L241" s="377"/>
      <c r="M241" s="377"/>
      <c r="N241" s="377"/>
      <c r="O241" s="377"/>
      <c r="P241" s="332">
        <f t="shared" si="1"/>
        <v>0</v>
      </c>
      <c r="Q241" s="378">
        <f t="shared" si="2"/>
        <v>0</v>
      </c>
      <c r="R241" s="333">
        <f t="shared" si="3"/>
        <v>0</v>
      </c>
      <c r="S241" s="378">
        <f t="shared" si="4"/>
        <v>0</v>
      </c>
      <c r="T241" s="359"/>
      <c r="U241" s="379"/>
      <c r="V241" s="5"/>
      <c r="W241" s="109"/>
    </row>
    <row r="242" spans="1:23" x14ac:dyDescent="0.35">
      <c r="A242" s="305"/>
      <c r="B242" s="332" t="s">
        <v>167</v>
      </c>
      <c r="C242" s="377"/>
      <c r="D242" s="377"/>
      <c r="E242" s="377"/>
      <c r="F242" s="279"/>
      <c r="G242" s="378"/>
      <c r="H242" s="377"/>
      <c r="I242" s="377"/>
      <c r="J242" s="377"/>
      <c r="K242" s="377"/>
      <c r="L242" s="377"/>
      <c r="M242" s="377"/>
      <c r="N242" s="377"/>
      <c r="O242" s="377"/>
      <c r="P242" s="332">
        <f t="shared" si="1"/>
        <v>1</v>
      </c>
      <c r="Q242" s="378">
        <f t="shared" si="2"/>
        <v>3.4399724802201581E-4</v>
      </c>
      <c r="R242" s="333">
        <f t="shared" si="3"/>
        <v>137</v>
      </c>
      <c r="S242" s="378">
        <f t="shared" si="4"/>
        <v>3.5194171639663059E-4</v>
      </c>
      <c r="T242" s="359"/>
      <c r="U242" s="379"/>
      <c r="V242" s="5"/>
    </row>
    <row r="243" spans="1:23" x14ac:dyDescent="0.35">
      <c r="A243" s="305"/>
      <c r="B243" s="332" t="s">
        <v>168</v>
      </c>
      <c r="C243" s="377"/>
      <c r="D243" s="377"/>
      <c r="E243" s="377"/>
      <c r="F243" s="279"/>
      <c r="G243" s="378"/>
      <c r="H243" s="377"/>
      <c r="I243" s="377"/>
      <c r="J243" s="377"/>
      <c r="K243" s="377"/>
      <c r="L243" s="377"/>
      <c r="M243" s="377"/>
      <c r="N243" s="377"/>
      <c r="O243" s="377"/>
      <c r="P243" s="332">
        <f t="shared" si="1"/>
        <v>0</v>
      </c>
      <c r="Q243" s="378">
        <f t="shared" si="2"/>
        <v>0</v>
      </c>
      <c r="R243" s="333">
        <f t="shared" si="3"/>
        <v>0</v>
      </c>
      <c r="S243" s="383">
        <f t="shared" si="4"/>
        <v>0</v>
      </c>
      <c r="T243" s="359"/>
      <c r="U243" s="379"/>
      <c r="V243" s="5"/>
      <c r="W243" s="109"/>
    </row>
    <row r="244" spans="1:23" x14ac:dyDescent="0.35">
      <c r="A244" s="305"/>
      <c r="B244" s="332"/>
      <c r="C244" s="377"/>
      <c r="D244" s="377"/>
      <c r="E244" s="377"/>
      <c r="F244" s="279"/>
      <c r="G244" s="378"/>
      <c r="H244" s="377"/>
      <c r="I244" s="377"/>
      <c r="J244" s="377"/>
      <c r="K244" s="377"/>
      <c r="L244" s="377"/>
      <c r="M244" s="377"/>
      <c r="N244" s="377"/>
      <c r="O244" s="377"/>
      <c r="P244" s="332"/>
      <c r="Q244" s="378"/>
      <c r="R244" s="333"/>
      <c r="S244" s="378"/>
      <c r="T244" s="359"/>
      <c r="U244" s="379"/>
      <c r="V244" s="5"/>
    </row>
    <row r="245" spans="1:23" x14ac:dyDescent="0.35">
      <c r="A245" s="305"/>
      <c r="B245" s="279"/>
      <c r="C245" s="279"/>
      <c r="D245" s="279"/>
      <c r="E245" s="279"/>
      <c r="F245" s="279"/>
      <c r="G245" s="279"/>
      <c r="H245" s="380"/>
      <c r="I245" s="380"/>
      <c r="J245" s="380"/>
      <c r="K245" s="380"/>
      <c r="L245" s="380"/>
      <c r="M245" s="380"/>
      <c r="N245" s="380"/>
      <c r="O245" s="380"/>
      <c r="P245" s="332">
        <f>SUM(P236:P244)</f>
        <v>2907</v>
      </c>
      <c r="Q245" s="378">
        <f>SUM(Q236:Q244)</f>
        <v>1.0000000000000002</v>
      </c>
      <c r="R245" s="333">
        <f>SUM(R236:R244)</f>
        <v>389269</v>
      </c>
      <c r="S245" s="378">
        <f>SUM(S236:S244)</f>
        <v>0.99999999999999989</v>
      </c>
      <c r="T245" s="279"/>
      <c r="U245" s="282"/>
      <c r="V245" s="5"/>
    </row>
    <row r="246" spans="1:23" x14ac:dyDescent="0.35">
      <c r="A246" s="174"/>
      <c r="B246" s="258"/>
      <c r="C246" s="258"/>
      <c r="D246" s="258"/>
      <c r="E246" s="258"/>
      <c r="F246" s="258"/>
      <c r="G246" s="258"/>
      <c r="H246" s="374"/>
      <c r="I246" s="374"/>
      <c r="J246" s="374"/>
      <c r="K246" s="374"/>
      <c r="L246" s="374"/>
      <c r="M246" s="374"/>
      <c r="N246" s="374"/>
      <c r="O246" s="374"/>
      <c r="P246" s="334"/>
      <c r="Q246" s="375"/>
      <c r="R246" s="376"/>
      <c r="S246" s="375"/>
      <c r="T246" s="258"/>
      <c r="U246" s="258"/>
      <c r="V246" s="5"/>
    </row>
    <row r="247" spans="1:23" x14ac:dyDescent="0.35">
      <c r="A247" s="252"/>
      <c r="B247" s="385" t="s">
        <v>171</v>
      </c>
      <c r="C247" s="386"/>
      <c r="D247" s="386"/>
      <c r="E247" s="386"/>
      <c r="F247" s="392"/>
      <c r="G247" s="386"/>
      <c r="H247" s="386"/>
      <c r="I247" s="386"/>
      <c r="J247" s="386"/>
      <c r="K247" s="386"/>
      <c r="L247" s="386"/>
      <c r="M247" s="386"/>
      <c r="N247" s="386"/>
      <c r="O247" s="386"/>
      <c r="P247" s="392" t="s">
        <v>106</v>
      </c>
      <c r="Q247" s="386" t="s">
        <v>107</v>
      </c>
      <c r="R247" s="392" t="s">
        <v>115</v>
      </c>
      <c r="S247" s="386" t="s">
        <v>107</v>
      </c>
      <c r="T247" s="253"/>
      <c r="U247" s="385"/>
      <c r="V247" s="5"/>
    </row>
    <row r="248" spans="1:23" x14ac:dyDescent="0.35">
      <c r="A248" s="190"/>
      <c r="B248" s="227" t="s">
        <v>92</v>
      </c>
      <c r="C248" s="243"/>
      <c r="D248" s="243"/>
      <c r="E248" s="243"/>
      <c r="F248" s="224"/>
      <c r="G248" s="243"/>
      <c r="H248" s="243"/>
      <c r="I248" s="243"/>
      <c r="J248" s="243"/>
      <c r="K248" s="243"/>
      <c r="L248" s="243"/>
      <c r="M248" s="243"/>
      <c r="N248" s="243"/>
      <c r="O248" s="243"/>
      <c r="P248" s="227">
        <v>2824</v>
      </c>
      <c r="Q248" s="244">
        <f t="shared" ref="Q248:Q255" si="5">P248/$P$257</f>
        <v>0.99823259102156237</v>
      </c>
      <c r="R248" s="237">
        <v>375952</v>
      </c>
      <c r="S248" s="244">
        <f t="shared" ref="S248:S255" si="6">R248/$R$257</f>
        <v>0.99883365967836635</v>
      </c>
      <c r="T248" s="240"/>
      <c r="U248" s="225"/>
      <c r="V248" s="5"/>
    </row>
    <row r="249" spans="1:23" x14ac:dyDescent="0.35">
      <c r="A249" s="305"/>
      <c r="B249" s="332" t="s">
        <v>93</v>
      </c>
      <c r="C249" s="377"/>
      <c r="D249" s="377"/>
      <c r="E249" s="377"/>
      <c r="F249" s="279"/>
      <c r="G249" s="378"/>
      <c r="H249" s="377"/>
      <c r="I249" s="377"/>
      <c r="J249" s="377"/>
      <c r="K249" s="377"/>
      <c r="L249" s="377"/>
      <c r="M249" s="377"/>
      <c r="N249" s="377"/>
      <c r="O249" s="377"/>
      <c r="P249" s="332">
        <v>2</v>
      </c>
      <c r="Q249" s="378">
        <f t="shared" si="5"/>
        <v>7.0696359137504422E-4</v>
      </c>
      <c r="R249" s="333">
        <v>141</v>
      </c>
      <c r="S249" s="378">
        <f t="shared" si="6"/>
        <v>3.7461044498938604E-4</v>
      </c>
      <c r="T249" s="359"/>
      <c r="U249" s="379"/>
      <c r="V249" s="5"/>
      <c r="W249" s="109"/>
    </row>
    <row r="250" spans="1:23" x14ac:dyDescent="0.35">
      <c r="A250" s="305"/>
      <c r="B250" s="332" t="s">
        <v>94</v>
      </c>
      <c r="C250" s="377"/>
      <c r="D250" s="377"/>
      <c r="E250" s="377"/>
      <c r="F250" s="279"/>
      <c r="G250" s="378"/>
      <c r="H250" s="377"/>
      <c r="I250" s="377"/>
      <c r="J250" s="377"/>
      <c r="K250" s="377"/>
      <c r="L250" s="377"/>
      <c r="M250" s="377"/>
      <c r="N250" s="377"/>
      <c r="O250" s="377"/>
      <c r="P250" s="332">
        <v>3</v>
      </c>
      <c r="Q250" s="378">
        <f t="shared" si="5"/>
        <v>1.0604453870625664E-3</v>
      </c>
      <c r="R250" s="333">
        <v>298</v>
      </c>
      <c r="S250" s="378">
        <f t="shared" si="6"/>
        <v>7.9172987664423433E-4</v>
      </c>
      <c r="T250" s="359"/>
      <c r="U250" s="379"/>
      <c r="V250" s="5"/>
    </row>
    <row r="251" spans="1:23" x14ac:dyDescent="0.35">
      <c r="A251" s="305"/>
      <c r="B251" s="332" t="s">
        <v>164</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c r="W251" s="109"/>
    </row>
    <row r="252" spans="1:23" x14ac:dyDescent="0.35">
      <c r="A252" s="305"/>
      <c r="B252" s="332" t="s">
        <v>165</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row>
    <row r="253" spans="1:23" x14ac:dyDescent="0.35">
      <c r="A253" s="305"/>
      <c r="B253" s="332" t="s">
        <v>166</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c r="W253" s="109"/>
    </row>
    <row r="254" spans="1:23" x14ac:dyDescent="0.35">
      <c r="A254" s="305"/>
      <c r="B254" s="332" t="s">
        <v>167</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row>
    <row r="255" spans="1:23" x14ac:dyDescent="0.35">
      <c r="A255" s="305"/>
      <c r="B255" s="332" t="s">
        <v>168</v>
      </c>
      <c r="C255" s="377"/>
      <c r="D255" s="377"/>
      <c r="E255" s="377"/>
      <c r="F255" s="279"/>
      <c r="G255" s="378"/>
      <c r="H255" s="377"/>
      <c r="I255" s="377"/>
      <c r="J255" s="377"/>
      <c r="K255" s="377"/>
      <c r="L255" s="377"/>
      <c r="M255" s="377"/>
      <c r="N255" s="377"/>
      <c r="O255" s="377"/>
      <c r="P255" s="332">
        <v>0</v>
      </c>
      <c r="Q255" s="378">
        <f t="shared" si="5"/>
        <v>0</v>
      </c>
      <c r="R255" s="333">
        <v>0</v>
      </c>
      <c r="S255" s="378">
        <f t="shared" si="6"/>
        <v>0</v>
      </c>
      <c r="T255" s="359"/>
      <c r="U255" s="379"/>
      <c r="V255" s="5"/>
      <c r="W255" s="109"/>
    </row>
    <row r="256" spans="1:23" x14ac:dyDescent="0.35">
      <c r="A256" s="305"/>
      <c r="B256" s="332"/>
      <c r="C256" s="377"/>
      <c r="D256" s="377"/>
      <c r="E256" s="377"/>
      <c r="F256" s="279"/>
      <c r="G256" s="378"/>
      <c r="H256" s="377"/>
      <c r="I256" s="377"/>
      <c r="J256" s="377"/>
      <c r="K256" s="377"/>
      <c r="L256" s="377"/>
      <c r="M256" s="377"/>
      <c r="N256" s="377"/>
      <c r="O256" s="377"/>
      <c r="P256" s="332"/>
      <c r="Q256" s="378"/>
      <c r="R256" s="333"/>
      <c r="S256" s="378"/>
      <c r="T256" s="359"/>
      <c r="U256" s="379"/>
      <c r="V256" s="5"/>
    </row>
    <row r="257" spans="1:22" x14ac:dyDescent="0.35">
      <c r="A257" s="305"/>
      <c r="B257" s="279"/>
      <c r="C257" s="279"/>
      <c r="D257" s="279"/>
      <c r="E257" s="279"/>
      <c r="F257" s="279"/>
      <c r="G257" s="279"/>
      <c r="H257" s="380"/>
      <c r="I257" s="380"/>
      <c r="J257" s="380"/>
      <c r="K257" s="380"/>
      <c r="L257" s="380"/>
      <c r="M257" s="380"/>
      <c r="N257" s="380"/>
      <c r="O257" s="380"/>
      <c r="P257" s="332">
        <f>SUM(P248:P256)</f>
        <v>2829</v>
      </c>
      <c r="Q257" s="378">
        <f>SUM(Q248:Q256)</f>
        <v>0.99999999999999989</v>
      </c>
      <c r="R257" s="333">
        <f>SUM(R248:R256)</f>
        <v>376391</v>
      </c>
      <c r="S257" s="378">
        <f>SUM(S248:S256)</f>
        <v>1</v>
      </c>
      <c r="T257" s="279"/>
      <c r="U257" s="282"/>
      <c r="V257" s="5"/>
    </row>
    <row r="258" spans="1:22" x14ac:dyDescent="0.35">
      <c r="A258" s="174"/>
      <c r="B258" s="258"/>
      <c r="C258" s="258"/>
      <c r="D258" s="258"/>
      <c r="E258" s="258"/>
      <c r="F258" s="258"/>
      <c r="G258" s="258"/>
      <c r="H258" s="374"/>
      <c r="I258" s="374"/>
      <c r="J258" s="374"/>
      <c r="K258" s="374"/>
      <c r="L258" s="374"/>
      <c r="M258" s="374"/>
      <c r="N258" s="374"/>
      <c r="O258" s="374"/>
      <c r="P258" s="334"/>
      <c r="Q258" s="375"/>
      <c r="R258" s="376"/>
      <c r="S258" s="375"/>
      <c r="T258" s="258"/>
      <c r="U258" s="258"/>
      <c r="V258" s="5"/>
    </row>
    <row r="259" spans="1:22" x14ac:dyDescent="0.35">
      <c r="A259" s="272"/>
      <c r="B259" s="385" t="s">
        <v>275</v>
      </c>
      <c r="C259" s="386"/>
      <c r="D259" s="386"/>
      <c r="E259" s="386"/>
      <c r="F259" s="392"/>
      <c r="G259" s="386"/>
      <c r="H259" s="386"/>
      <c r="I259" s="386"/>
      <c r="J259" s="386"/>
      <c r="K259" s="386"/>
      <c r="L259" s="386"/>
      <c r="M259" s="386"/>
      <c r="N259" s="386"/>
      <c r="O259" s="386"/>
      <c r="P259" s="392" t="s">
        <v>106</v>
      </c>
      <c r="Q259" s="386" t="s">
        <v>107</v>
      </c>
      <c r="R259" s="392" t="s">
        <v>115</v>
      </c>
      <c r="S259" s="386" t="s">
        <v>107</v>
      </c>
      <c r="T259" s="273"/>
      <c r="U259" s="274"/>
      <c r="V259" s="5"/>
    </row>
    <row r="260" spans="1:22" x14ac:dyDescent="0.35">
      <c r="A260" s="190"/>
      <c r="B260" s="227" t="s">
        <v>92</v>
      </c>
      <c r="C260" s="243"/>
      <c r="D260" s="243"/>
      <c r="E260" s="243"/>
      <c r="F260" s="224"/>
      <c r="G260" s="243"/>
      <c r="H260" s="243"/>
      <c r="I260" s="243"/>
      <c r="J260" s="243"/>
      <c r="K260" s="243"/>
      <c r="L260" s="243"/>
      <c r="M260" s="243"/>
      <c r="N260" s="243"/>
      <c r="O260" s="243"/>
      <c r="P260" s="227">
        <v>72</v>
      </c>
      <c r="Q260" s="244">
        <f t="shared" ref="Q260:Q267" si="7">P260/$P$269</f>
        <v>0.92307692307692313</v>
      </c>
      <c r="R260" s="237">
        <v>12363</v>
      </c>
      <c r="S260" s="244">
        <f t="shared" ref="S260:S267" si="8">R260/$R$269</f>
        <v>0.96000931821711444</v>
      </c>
      <c r="T260" s="224"/>
      <c r="U260" s="224"/>
      <c r="V260" s="5"/>
    </row>
    <row r="261" spans="1:22" x14ac:dyDescent="0.35">
      <c r="A261" s="305"/>
      <c r="B261" s="332" t="s">
        <v>93</v>
      </c>
      <c r="C261" s="377"/>
      <c r="D261" s="377"/>
      <c r="E261" s="377"/>
      <c r="F261" s="279"/>
      <c r="G261" s="378"/>
      <c r="H261" s="377"/>
      <c r="I261" s="377"/>
      <c r="J261" s="377"/>
      <c r="K261" s="377"/>
      <c r="L261" s="377"/>
      <c r="M261" s="377"/>
      <c r="N261" s="377"/>
      <c r="O261" s="377"/>
      <c r="P261" s="332">
        <v>1</v>
      </c>
      <c r="Q261" s="378">
        <f t="shared" si="7"/>
        <v>1.282051282051282E-2</v>
      </c>
      <c r="R261" s="333">
        <v>80</v>
      </c>
      <c r="S261" s="378">
        <f t="shared" si="8"/>
        <v>6.2121447429725109E-3</v>
      </c>
      <c r="T261" s="279"/>
      <c r="U261" s="282"/>
      <c r="V261" s="5"/>
    </row>
    <row r="262" spans="1:22" x14ac:dyDescent="0.35">
      <c r="A262" s="305"/>
      <c r="B262" s="332" t="s">
        <v>94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164</v>
      </c>
      <c r="C263" s="377"/>
      <c r="D263" s="377"/>
      <c r="E263" s="377"/>
      <c r="F263" s="279"/>
      <c r="G263" s="378"/>
      <c r="H263" s="377"/>
      <c r="I263" s="377"/>
      <c r="J263" s="377"/>
      <c r="K263" s="377"/>
      <c r="L263" s="377"/>
      <c r="M263" s="377"/>
      <c r="N263" s="377"/>
      <c r="O263" s="377"/>
      <c r="P263" s="332">
        <v>2</v>
      </c>
      <c r="Q263" s="378">
        <f t="shared" si="7"/>
        <v>2.564102564102564E-2</v>
      </c>
      <c r="R263" s="333">
        <v>35</v>
      </c>
      <c r="S263" s="378">
        <f t="shared" si="8"/>
        <v>2.7178133250504739E-3</v>
      </c>
      <c r="T263" s="279"/>
      <c r="U263" s="282"/>
      <c r="V263" s="5"/>
    </row>
    <row r="264" spans="1:22" x14ac:dyDescent="0.35">
      <c r="A264" s="305"/>
      <c r="B264" s="332" t="s">
        <v>165</v>
      </c>
      <c r="C264" s="377"/>
      <c r="D264" s="377"/>
      <c r="E264" s="377"/>
      <c r="F264" s="279"/>
      <c r="G264" s="378"/>
      <c r="H264" s="377"/>
      <c r="I264" s="377"/>
      <c r="J264" s="377"/>
      <c r="K264" s="377"/>
      <c r="L264" s="377"/>
      <c r="M264" s="377"/>
      <c r="N264" s="377"/>
      <c r="O264" s="377"/>
      <c r="P264" s="332">
        <v>2</v>
      </c>
      <c r="Q264" s="378">
        <f t="shared" si="7"/>
        <v>2.564102564102564E-2</v>
      </c>
      <c r="R264" s="333">
        <v>263</v>
      </c>
      <c r="S264" s="378">
        <f t="shared" si="8"/>
        <v>2.0422425842522129E-2</v>
      </c>
      <c r="T264" s="279"/>
      <c r="U264" s="282"/>
      <c r="V264" s="5"/>
    </row>
    <row r="265" spans="1:22" x14ac:dyDescent="0.35">
      <c r="A265" s="305"/>
      <c r="B265" s="332" t="s">
        <v>166</v>
      </c>
      <c r="C265" s="377"/>
      <c r="D265" s="377"/>
      <c r="E265" s="377"/>
      <c r="F265" s="279"/>
      <c r="G265" s="378"/>
      <c r="H265" s="377"/>
      <c r="I265" s="377"/>
      <c r="J265" s="377"/>
      <c r="K265" s="377"/>
      <c r="L265" s="377"/>
      <c r="M265" s="377"/>
      <c r="N265" s="377"/>
      <c r="O265" s="377"/>
      <c r="P265" s="332">
        <v>0</v>
      </c>
      <c r="Q265" s="378">
        <f t="shared" si="7"/>
        <v>0</v>
      </c>
      <c r="R265" s="333">
        <v>0</v>
      </c>
      <c r="S265" s="378">
        <f t="shared" si="8"/>
        <v>0</v>
      </c>
      <c r="T265" s="279"/>
      <c r="U265" s="282"/>
      <c r="V265" s="5"/>
    </row>
    <row r="266" spans="1:22" x14ac:dyDescent="0.35">
      <c r="A266" s="305"/>
      <c r="B266" s="332" t="s">
        <v>167</v>
      </c>
      <c r="C266" s="377"/>
      <c r="D266" s="377"/>
      <c r="E266" s="377"/>
      <c r="F266" s="279"/>
      <c r="G266" s="378"/>
      <c r="H266" s="377"/>
      <c r="I266" s="377"/>
      <c r="J266" s="377"/>
      <c r="K266" s="377"/>
      <c r="L266" s="377"/>
      <c r="M266" s="377"/>
      <c r="N266" s="377"/>
      <c r="O266" s="377"/>
      <c r="P266" s="332">
        <v>1</v>
      </c>
      <c r="Q266" s="378">
        <f t="shared" si="7"/>
        <v>1.282051282051282E-2</v>
      </c>
      <c r="R266" s="333">
        <v>137</v>
      </c>
      <c r="S266" s="378">
        <f t="shared" si="8"/>
        <v>1.0638297872340425E-2</v>
      </c>
      <c r="T266" s="279"/>
      <c r="U266" s="282"/>
      <c r="V266" s="5"/>
    </row>
    <row r="267" spans="1:22" x14ac:dyDescent="0.35">
      <c r="A267" s="305"/>
      <c r="B267" s="332" t="s">
        <v>168</v>
      </c>
      <c r="C267" s="377"/>
      <c r="D267" s="377"/>
      <c r="E267" s="377"/>
      <c r="F267" s="279"/>
      <c r="G267" s="378"/>
      <c r="H267" s="377"/>
      <c r="I267" s="377"/>
      <c r="J267" s="377"/>
      <c r="K267" s="377"/>
      <c r="L267" s="377"/>
      <c r="M267" s="377"/>
      <c r="N267" s="377"/>
      <c r="O267" s="377"/>
      <c r="P267" s="332">
        <v>0</v>
      </c>
      <c r="Q267" s="378">
        <f t="shared" si="7"/>
        <v>0</v>
      </c>
      <c r="R267" s="333">
        <v>0</v>
      </c>
      <c r="S267" s="378">
        <f t="shared" si="8"/>
        <v>0</v>
      </c>
      <c r="T267" s="279"/>
      <c r="U267" s="282"/>
      <c r="V267" s="5"/>
    </row>
    <row r="268" spans="1:22" x14ac:dyDescent="0.35">
      <c r="A268" s="305"/>
      <c r="B268" s="332"/>
      <c r="C268" s="377"/>
      <c r="D268" s="377"/>
      <c r="E268" s="377"/>
      <c r="F268" s="279"/>
      <c r="G268" s="378"/>
      <c r="H268" s="377"/>
      <c r="I268" s="377"/>
      <c r="J268" s="377"/>
      <c r="K268" s="377"/>
      <c r="L268" s="377"/>
      <c r="M268" s="377"/>
      <c r="N268" s="377"/>
      <c r="O268" s="377"/>
      <c r="P268" s="332"/>
      <c r="Q268" s="378"/>
      <c r="R268" s="333"/>
      <c r="S268" s="378"/>
      <c r="T268" s="279"/>
      <c r="U268" s="282"/>
      <c r="V268" s="5"/>
    </row>
    <row r="269" spans="1:22" x14ac:dyDescent="0.35">
      <c r="A269" s="305"/>
      <c r="B269" s="279"/>
      <c r="C269" s="279"/>
      <c r="D269" s="279"/>
      <c r="E269" s="279"/>
      <c r="F269" s="279"/>
      <c r="G269" s="279"/>
      <c r="H269" s="380"/>
      <c r="I269" s="380"/>
      <c r="J269" s="380"/>
      <c r="K269" s="380"/>
      <c r="L269" s="380"/>
      <c r="M269" s="380"/>
      <c r="N269" s="380"/>
      <c r="O269" s="380"/>
      <c r="P269" s="332">
        <f>SUM(P260:P268)</f>
        <v>78</v>
      </c>
      <c r="Q269" s="378">
        <f>SUM(Q260:Q268)</f>
        <v>1</v>
      </c>
      <c r="R269" s="333">
        <f>SUM(R260:R268)</f>
        <v>12878</v>
      </c>
      <c r="S269" s="378">
        <f>SUM(S260:S268)</f>
        <v>0.99999999999999989</v>
      </c>
      <c r="T269" s="279"/>
      <c r="U269" s="282"/>
      <c r="V269" s="5"/>
    </row>
    <row r="270" spans="1:22" x14ac:dyDescent="0.35">
      <c r="A270" s="174"/>
      <c r="B270" s="258"/>
      <c r="C270" s="258"/>
      <c r="D270" s="258"/>
      <c r="E270" s="258"/>
      <c r="F270" s="258"/>
      <c r="G270" s="258"/>
      <c r="H270" s="374"/>
      <c r="I270" s="374"/>
      <c r="J270" s="374"/>
      <c r="K270" s="374"/>
      <c r="L270" s="374"/>
      <c r="M270" s="374"/>
      <c r="N270" s="374"/>
      <c r="O270" s="374"/>
      <c r="P270" s="334"/>
      <c r="Q270" s="375"/>
      <c r="R270" s="376"/>
      <c r="S270" s="375"/>
      <c r="T270" s="258"/>
      <c r="U270" s="258"/>
      <c r="V270" s="5"/>
    </row>
    <row r="271" spans="1:22" x14ac:dyDescent="0.35">
      <c r="A271" s="272"/>
      <c r="B271" s="385" t="s">
        <v>173</v>
      </c>
      <c r="C271" s="273"/>
      <c r="D271" s="273"/>
      <c r="E271" s="273"/>
      <c r="F271" s="273"/>
      <c r="G271" s="273"/>
      <c r="H271" s="275"/>
      <c r="I271" s="275"/>
      <c r="J271" s="275"/>
      <c r="K271" s="275"/>
      <c r="L271" s="275"/>
      <c r="M271" s="275"/>
      <c r="N271" s="275"/>
      <c r="O271" s="275"/>
      <c r="P271" s="392" t="s">
        <v>106</v>
      </c>
      <c r="Q271" s="386" t="s">
        <v>107</v>
      </c>
      <c r="R271" s="392" t="s">
        <v>115</v>
      </c>
      <c r="S271" s="386" t="s">
        <v>107</v>
      </c>
      <c r="T271" s="273"/>
      <c r="U271" s="274"/>
      <c r="V271" s="5"/>
    </row>
    <row r="272" spans="1:22" x14ac:dyDescent="0.35">
      <c r="A272" s="190"/>
      <c r="B272" s="227" t="s">
        <v>92</v>
      </c>
      <c r="C272" s="224"/>
      <c r="D272" s="224"/>
      <c r="E272" s="224"/>
      <c r="F272" s="224"/>
      <c r="G272" s="224"/>
      <c r="H272" s="245"/>
      <c r="I272" s="245"/>
      <c r="J272" s="245"/>
      <c r="K272" s="245"/>
      <c r="L272" s="245"/>
      <c r="M272" s="245"/>
      <c r="N272" s="245"/>
      <c r="O272" s="245"/>
      <c r="P272" s="227">
        <v>0</v>
      </c>
      <c r="Q272" s="244">
        <v>0</v>
      </c>
      <c r="R272" s="237">
        <v>0</v>
      </c>
      <c r="S272" s="244">
        <v>0</v>
      </c>
      <c r="T272" s="224"/>
      <c r="U272" s="224"/>
      <c r="V272" s="5"/>
    </row>
    <row r="273" spans="1:22" x14ac:dyDescent="0.35">
      <c r="A273" s="305"/>
      <c r="B273" s="332" t="s">
        <v>93</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94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164</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165</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166</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167</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t="s">
        <v>168</v>
      </c>
      <c r="C279" s="279"/>
      <c r="D279" s="279"/>
      <c r="E279" s="279"/>
      <c r="F279" s="279"/>
      <c r="G279" s="279"/>
      <c r="H279" s="380"/>
      <c r="I279" s="380"/>
      <c r="J279" s="380"/>
      <c r="K279" s="380"/>
      <c r="L279" s="380"/>
      <c r="M279" s="380"/>
      <c r="N279" s="380"/>
      <c r="O279" s="380"/>
      <c r="P279" s="332">
        <v>0</v>
      </c>
      <c r="Q279" s="378">
        <v>0</v>
      </c>
      <c r="R279" s="333">
        <v>0</v>
      </c>
      <c r="S279" s="378">
        <v>0</v>
      </c>
      <c r="T279" s="279"/>
      <c r="U279" s="282"/>
      <c r="V279" s="5"/>
    </row>
    <row r="280" spans="1:22" x14ac:dyDescent="0.35">
      <c r="A280" s="305"/>
      <c r="B280" s="332"/>
      <c r="C280" s="279"/>
      <c r="D280" s="279"/>
      <c r="E280" s="279"/>
      <c r="F280" s="279"/>
      <c r="G280" s="279"/>
      <c r="H280" s="380"/>
      <c r="I280" s="380"/>
      <c r="J280" s="380"/>
      <c r="K280" s="380"/>
      <c r="L280" s="380"/>
      <c r="M280" s="380"/>
      <c r="N280" s="380"/>
      <c r="O280" s="380"/>
      <c r="P280" s="332"/>
      <c r="Q280" s="378"/>
      <c r="R280" s="333"/>
      <c r="S280" s="378"/>
      <c r="T280" s="279"/>
      <c r="U280" s="282"/>
      <c r="V280" s="5"/>
    </row>
    <row r="281" spans="1:22" x14ac:dyDescent="0.35">
      <c r="A281" s="305"/>
      <c r="B281" s="279" t="s">
        <v>121</v>
      </c>
      <c r="C281" s="279"/>
      <c r="D281" s="279"/>
      <c r="E281" s="279"/>
      <c r="F281" s="279"/>
      <c r="G281" s="279"/>
      <c r="H281" s="380"/>
      <c r="I281" s="380"/>
      <c r="J281" s="380"/>
      <c r="K281" s="380"/>
      <c r="L281" s="380"/>
      <c r="M281" s="380"/>
      <c r="N281" s="380"/>
      <c r="O281" s="380"/>
      <c r="P281" s="332">
        <f>SUM(P272:P279)</f>
        <v>0</v>
      </c>
      <c r="Q281" s="378">
        <f>SUM(Q272:Q279)</f>
        <v>0</v>
      </c>
      <c r="R281" s="333">
        <f>SUM(R272:R279)</f>
        <v>0</v>
      </c>
      <c r="S281" s="378">
        <f>SUM(S272:S279)</f>
        <v>0</v>
      </c>
      <c r="T281" s="279"/>
      <c r="U281" s="282"/>
      <c r="V281" s="5"/>
    </row>
    <row r="282" spans="1:22" x14ac:dyDescent="0.35">
      <c r="A282" s="305"/>
      <c r="B282" s="279"/>
      <c r="C282" s="279"/>
      <c r="D282" s="279"/>
      <c r="E282" s="279"/>
      <c r="F282" s="279"/>
      <c r="G282" s="279"/>
      <c r="H282" s="380"/>
      <c r="I282" s="380"/>
      <c r="J282" s="380"/>
      <c r="K282" s="380"/>
      <c r="L282" s="380"/>
      <c r="M282" s="380"/>
      <c r="N282" s="380"/>
      <c r="O282" s="380"/>
      <c r="P282" s="332"/>
      <c r="Q282" s="378"/>
      <c r="R282" s="333"/>
      <c r="S282" s="378"/>
      <c r="T282" s="279"/>
      <c r="U282" s="282"/>
      <c r="V282" s="5"/>
    </row>
    <row r="283" spans="1:22" x14ac:dyDescent="0.35">
      <c r="A283" s="305"/>
      <c r="B283" s="286" t="s">
        <v>174</v>
      </c>
      <c r="C283" s="279"/>
      <c r="D283" s="279"/>
      <c r="E283" s="279"/>
      <c r="F283" s="279"/>
      <c r="G283" s="279"/>
      <c r="H283" s="380"/>
      <c r="I283" s="380"/>
      <c r="J283" s="380"/>
      <c r="K283" s="380"/>
      <c r="L283" s="380"/>
      <c r="M283" s="380"/>
      <c r="N283" s="380"/>
      <c r="O283" s="380"/>
      <c r="P283" s="393">
        <f>P281+P269+P257</f>
        <v>2907</v>
      </c>
      <c r="Q283" s="378"/>
      <c r="R283" s="382">
        <f>+R281+R269+R257</f>
        <v>389269</v>
      </c>
      <c r="S283" s="378"/>
      <c r="T283" s="279"/>
      <c r="U283" s="282"/>
      <c r="V283" s="5"/>
    </row>
    <row r="284" spans="1:22" x14ac:dyDescent="0.35">
      <c r="A284" s="174"/>
      <c r="B284" s="258"/>
      <c r="C284" s="258"/>
      <c r="D284" s="258"/>
      <c r="E284" s="258"/>
      <c r="F284" s="258"/>
      <c r="G284" s="258"/>
      <c r="H284" s="374"/>
      <c r="I284" s="374"/>
      <c r="J284" s="374"/>
      <c r="K284" s="374"/>
      <c r="L284" s="374"/>
      <c r="M284" s="374"/>
      <c r="N284" s="374"/>
      <c r="O284" s="374"/>
      <c r="P284" s="374"/>
      <c r="Q284" s="374"/>
      <c r="R284" s="376"/>
      <c r="S284" s="374"/>
      <c r="T284" s="258"/>
      <c r="U284" s="258"/>
      <c r="V284" s="5"/>
    </row>
    <row r="285" spans="1:22" x14ac:dyDescent="0.35">
      <c r="A285" s="174"/>
      <c r="B285" s="229"/>
      <c r="C285" s="229"/>
      <c r="D285" s="229"/>
      <c r="E285" s="229"/>
      <c r="F285" s="229"/>
      <c r="G285" s="229"/>
      <c r="H285" s="246"/>
      <c r="I285" s="246"/>
      <c r="J285" s="246"/>
      <c r="K285" s="246"/>
      <c r="L285" s="246"/>
      <c r="M285" s="246"/>
      <c r="N285" s="246"/>
      <c r="O285" s="246"/>
      <c r="P285" s="246"/>
      <c r="Q285" s="246"/>
      <c r="R285" s="247"/>
      <c r="S285" s="246"/>
      <c r="T285" s="229"/>
      <c r="U285" s="229"/>
      <c r="V285" s="5"/>
    </row>
    <row r="286" spans="1:22" x14ac:dyDescent="0.35">
      <c r="A286" s="213"/>
      <c r="B286" s="216" t="s">
        <v>95</v>
      </c>
      <c r="C286" s="229"/>
      <c r="D286" s="229"/>
      <c r="E286" s="229"/>
      <c r="F286" s="222" t="s">
        <v>101</v>
      </c>
      <c r="G286" s="229"/>
      <c r="H286" s="216" t="s">
        <v>103</v>
      </c>
      <c r="I286" s="248"/>
      <c r="J286" s="248"/>
      <c r="K286" s="248"/>
      <c r="L286" s="248"/>
      <c r="M286" s="248"/>
      <c r="N286" s="248"/>
      <c r="O286" s="248"/>
      <c r="P286" s="248"/>
      <c r="Q286" s="248"/>
      <c r="R286" s="248"/>
      <c r="S286" s="248"/>
      <c r="T286" s="248"/>
      <c r="U286" s="248"/>
      <c r="V286" s="5"/>
    </row>
    <row r="287" spans="1:22" x14ac:dyDescent="0.35">
      <c r="A287" s="213"/>
      <c r="B287" s="248"/>
      <c r="C287" s="229"/>
      <c r="D287" s="229"/>
      <c r="E287" s="229"/>
      <c r="F287" s="229"/>
      <c r="G287" s="229"/>
      <c r="H287" s="229"/>
      <c r="I287" s="248"/>
      <c r="J287" s="248"/>
      <c r="K287" s="248"/>
      <c r="L287" s="248"/>
      <c r="M287" s="248"/>
      <c r="N287" s="248"/>
      <c r="O287" s="248"/>
      <c r="P287" s="248"/>
      <c r="Q287" s="248"/>
      <c r="R287" s="248"/>
      <c r="S287" s="248"/>
      <c r="T287" s="248"/>
      <c r="U287" s="248"/>
      <c r="V287" s="5"/>
    </row>
    <row r="288" spans="1:22" x14ac:dyDescent="0.35">
      <c r="A288" s="213"/>
      <c r="B288" s="216" t="s">
        <v>329</v>
      </c>
      <c r="C288" s="216"/>
      <c r="D288" s="216"/>
      <c r="E288" s="216"/>
      <c r="F288" s="249" t="s">
        <v>155</v>
      </c>
      <c r="G288" s="216"/>
      <c r="H288" s="216" t="s">
        <v>160</v>
      </c>
      <c r="I288" s="248"/>
      <c r="J288" s="248"/>
      <c r="K288" s="248"/>
      <c r="L288" s="248"/>
      <c r="M288" s="248"/>
      <c r="N288" s="248"/>
      <c r="O288" s="248"/>
      <c r="P288" s="248"/>
      <c r="Q288" s="248"/>
      <c r="R288" s="248"/>
      <c r="S288" s="248"/>
      <c r="T288" s="248"/>
      <c r="U288" s="248"/>
      <c r="V288" s="5"/>
    </row>
    <row r="289" spans="1:22" x14ac:dyDescent="0.35">
      <c r="A289" s="213"/>
      <c r="B289" s="216" t="s">
        <v>330</v>
      </c>
      <c r="C289" s="216"/>
      <c r="D289" s="216"/>
      <c r="E289" s="216"/>
      <c r="F289" s="249" t="s">
        <v>278</v>
      </c>
      <c r="G289" s="216"/>
      <c r="H289" s="216" t="s">
        <v>279</v>
      </c>
      <c r="I289" s="248"/>
      <c r="J289" s="248"/>
      <c r="K289" s="248"/>
      <c r="L289" s="248"/>
      <c r="M289" s="248"/>
      <c r="N289" s="248"/>
      <c r="O289" s="248"/>
      <c r="P289" s="248"/>
      <c r="Q289" s="248"/>
      <c r="R289" s="248"/>
      <c r="S289" s="248"/>
      <c r="T289" s="248"/>
      <c r="U289" s="248"/>
      <c r="V289" s="5"/>
    </row>
    <row r="290" spans="1:22" x14ac:dyDescent="0.35">
      <c r="A290" s="213"/>
      <c r="B290" s="216" t="s">
        <v>331</v>
      </c>
      <c r="C290" s="216"/>
      <c r="D290" s="216"/>
      <c r="E290" s="216"/>
      <c r="F290" s="249" t="s">
        <v>154</v>
      </c>
      <c r="G290" s="216"/>
      <c r="H290" s="216" t="s">
        <v>161</v>
      </c>
      <c r="I290" s="248"/>
      <c r="J290" s="248"/>
      <c r="K290" s="248"/>
      <c r="L290" s="248"/>
      <c r="M290" s="248"/>
      <c r="N290" s="248"/>
      <c r="O290" s="248"/>
      <c r="P290" s="248"/>
      <c r="Q290" s="248"/>
      <c r="R290" s="248"/>
      <c r="S290" s="248"/>
      <c r="T290" s="248"/>
      <c r="U290" s="248"/>
      <c r="V290" s="5"/>
    </row>
    <row r="291" spans="1:22" x14ac:dyDescent="0.35">
      <c r="A291" s="213"/>
      <c r="B291" s="216"/>
      <c r="C291" s="216"/>
      <c r="D291" s="216"/>
      <c r="E291" s="216"/>
      <c r="F291" s="216"/>
      <c r="G291" s="250"/>
      <c r="H291" s="248"/>
      <c r="I291" s="248"/>
      <c r="J291" s="248"/>
      <c r="K291" s="248"/>
      <c r="L291" s="248"/>
      <c r="M291" s="248"/>
      <c r="N291" s="248"/>
      <c r="O291" s="248"/>
      <c r="P291" s="248"/>
      <c r="Q291" s="248"/>
      <c r="R291" s="248"/>
      <c r="S291" s="248"/>
      <c r="T291" s="248"/>
      <c r="U291" s="248"/>
      <c r="V291" s="5"/>
    </row>
    <row r="292" spans="1:22" x14ac:dyDescent="0.35">
      <c r="A292" s="213"/>
      <c r="B292" s="216"/>
      <c r="C292" s="216"/>
      <c r="D292" s="216"/>
      <c r="E292" s="216"/>
      <c r="F292" s="216"/>
      <c r="G292" s="250"/>
      <c r="H292" s="248"/>
      <c r="I292" s="248"/>
      <c r="J292" s="248"/>
      <c r="K292" s="248"/>
      <c r="L292" s="248"/>
      <c r="M292" s="248"/>
      <c r="N292" s="248"/>
      <c r="O292" s="248"/>
      <c r="P292" s="248"/>
      <c r="Q292" s="248"/>
      <c r="R292" s="248"/>
      <c r="S292" s="248"/>
      <c r="T292" s="248"/>
      <c r="U292" s="248"/>
      <c r="V292" s="5"/>
    </row>
    <row r="293" spans="1:22" ht="18" thickBot="1" x14ac:dyDescent="0.4">
      <c r="A293" s="213"/>
      <c r="B293" s="251" t="str">
        <f>B197</f>
        <v>PM10 INVESTOR REPORT QUARTER ENDING AUGUST 2016</v>
      </c>
      <c r="C293" s="216"/>
      <c r="D293" s="216"/>
      <c r="E293" s="216"/>
      <c r="F293" s="216"/>
      <c r="G293" s="250"/>
      <c r="H293" s="248"/>
      <c r="I293" s="248"/>
      <c r="J293" s="248"/>
      <c r="K293" s="248"/>
      <c r="L293" s="248"/>
      <c r="M293" s="248"/>
      <c r="N293" s="248"/>
      <c r="O293" s="248"/>
      <c r="P293" s="248"/>
      <c r="Q293" s="248"/>
      <c r="R293" s="248"/>
      <c r="S293" s="248"/>
      <c r="T293" s="248"/>
      <c r="U293" s="248"/>
      <c r="V293" s="5"/>
    </row>
    <row r="294" spans="1:22" x14ac:dyDescent="0.35">
      <c r="A294" s="100"/>
      <c r="B294" s="100"/>
      <c r="C294" s="100"/>
      <c r="D294" s="100"/>
      <c r="E294" s="100"/>
      <c r="F294" s="100"/>
      <c r="G294" s="100"/>
      <c r="H294" s="100"/>
      <c r="I294" s="100"/>
      <c r="J294" s="100"/>
      <c r="K294" s="100"/>
      <c r="L294" s="100"/>
      <c r="M294" s="100"/>
      <c r="N294" s="100"/>
      <c r="O294" s="100"/>
      <c r="P294" s="100"/>
      <c r="Q294" s="100"/>
      <c r="R294" s="100"/>
      <c r="S294" s="100"/>
      <c r="T294" s="100"/>
      <c r="U294" s="100"/>
    </row>
  </sheetData>
  <hyperlinks>
    <hyperlink ref="J9" r:id="rId1" xr:uid="{00000000-0004-0000-2A00-000000000000}"/>
    <hyperlink ref="N233" r:id="rId2" xr:uid="{00000000-0004-0000-2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1" man="1"/>
    <brk id="136" max="14" man="1"/>
    <brk id="197" max="14"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89CB31"/>
  </sheetPr>
  <dimension ref="A1:Z298"/>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400"/>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0.68389999999999995</v>
      </c>
      <c r="R16" s="222" t="s">
        <v>147</v>
      </c>
      <c r="S16" s="221">
        <v>0.31609999999999999</v>
      </c>
      <c r="T16" s="184"/>
      <c r="U16" s="183"/>
      <c r="V16" s="5"/>
    </row>
    <row r="17" spans="1:22" x14ac:dyDescent="0.35">
      <c r="A17" s="174"/>
      <c r="B17" s="216" t="s">
        <v>4</v>
      </c>
      <c r="C17" s="183"/>
      <c r="D17" s="399"/>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399"/>
      <c r="E18" s="183"/>
      <c r="F18" s="183"/>
      <c r="G18" s="183"/>
      <c r="H18" s="183"/>
      <c r="I18" s="183"/>
      <c r="J18" s="183"/>
      <c r="K18" s="183"/>
      <c r="L18" s="183"/>
      <c r="M18" s="183"/>
      <c r="N18" s="183"/>
      <c r="O18" s="183"/>
      <c r="P18" s="183"/>
      <c r="Q18" s="183"/>
      <c r="R18" s="183"/>
      <c r="S18" s="183"/>
      <c r="T18" s="218">
        <v>42724</v>
      </c>
      <c r="U18" s="183"/>
      <c r="V18" s="5"/>
    </row>
    <row r="19" spans="1:22" x14ac:dyDescent="0.35">
      <c r="A19" s="174"/>
      <c r="B19" s="176"/>
      <c r="C19" s="176"/>
      <c r="D19" s="398"/>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148</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175</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317</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0">
        <f>D34*D38</f>
        <v>45126.456370399996</v>
      </c>
      <c r="E32" s="289"/>
      <c r="F32" s="290">
        <f>F31*F38</f>
        <v>105000</v>
      </c>
      <c r="G32" s="290"/>
      <c r="H32" s="295">
        <f>H31*H38</f>
        <v>222000</v>
      </c>
      <c r="I32" s="290"/>
      <c r="J32" s="290">
        <f>J31*J38</f>
        <v>24186.076000000001</v>
      </c>
      <c r="K32" s="290"/>
      <c r="L32" s="295">
        <f>L31*L38</f>
        <v>15213.822</v>
      </c>
      <c r="M32" s="290"/>
      <c r="N32" s="296">
        <f>N31*N38</f>
        <v>40180.093999999997</v>
      </c>
      <c r="O32" s="290"/>
      <c r="P32" s="295">
        <f>P31*P38</f>
        <v>21455.39</v>
      </c>
      <c r="Q32" s="290"/>
      <c r="R32" s="290"/>
      <c r="S32" s="291"/>
      <c r="T32" s="290"/>
      <c r="U32" s="292"/>
      <c r="V32" s="5"/>
    </row>
    <row r="33" spans="1:26" x14ac:dyDescent="0.35">
      <c r="A33" s="278"/>
      <c r="B33" s="286" t="s">
        <v>141</v>
      </c>
      <c r="C33" s="289"/>
      <c r="D33" s="396">
        <f>D34*D37</f>
        <v>41854.223610400004</v>
      </c>
      <c r="E33" s="293"/>
      <c r="F33" s="297">
        <f>F37*F31</f>
        <v>105000</v>
      </c>
      <c r="G33" s="297"/>
      <c r="H33" s="300">
        <f>H31*H37</f>
        <v>222000</v>
      </c>
      <c r="I33" s="297"/>
      <c r="J33" s="297">
        <f>J31*J37</f>
        <v>23922.3776</v>
      </c>
      <c r="K33" s="297"/>
      <c r="L33" s="300">
        <f>L31*L37</f>
        <v>15047.947199999999</v>
      </c>
      <c r="M33" s="297"/>
      <c r="N33" s="297">
        <f>N31*N37</f>
        <v>39742.0144</v>
      </c>
      <c r="O33" s="297"/>
      <c r="P33" s="300">
        <f>P31*P37</f>
        <v>21221.464</v>
      </c>
      <c r="Q33" s="290"/>
      <c r="R33" s="290"/>
      <c r="S33" s="291"/>
      <c r="T33" s="290"/>
      <c r="U33" s="292"/>
      <c r="V33" s="5"/>
    </row>
    <row r="34" spans="1:26"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c r="X34" s="397"/>
      <c r="Z34" s="397"/>
    </row>
    <row r="35" spans="1:26" x14ac:dyDescent="0.35">
      <c r="A35" s="283"/>
      <c r="B35" s="279" t="s">
        <v>297</v>
      </c>
      <c r="C35" s="293"/>
      <c r="D35" s="290">
        <f>D34*D38</f>
        <v>45126.456370399996</v>
      </c>
      <c r="E35" s="289"/>
      <c r="F35" s="290">
        <f>F34*F38</f>
        <v>105000</v>
      </c>
      <c r="G35" s="290"/>
      <c r="H35" s="290">
        <f>H34*H38</f>
        <v>150000</v>
      </c>
      <c r="I35" s="290"/>
      <c r="J35" s="290">
        <f>J32</f>
        <v>24186.076000000001</v>
      </c>
      <c r="K35" s="290"/>
      <c r="L35" s="290">
        <f>L34*L38</f>
        <v>10279.862496</v>
      </c>
      <c r="M35" s="290"/>
      <c r="N35" s="290">
        <f>N32</f>
        <v>40180.093999999997</v>
      </c>
      <c r="O35" s="290"/>
      <c r="P35" s="290">
        <f>P34*P38</f>
        <v>14496.821876</v>
      </c>
      <c r="Q35" s="290"/>
      <c r="R35" s="290"/>
      <c r="S35" s="291"/>
      <c r="T35" s="290">
        <f>SUM(C35:P35)</f>
        <v>389269.3107424</v>
      </c>
      <c r="U35" s="292"/>
      <c r="V35" s="5"/>
      <c r="X35" s="397"/>
      <c r="Z35" s="397"/>
    </row>
    <row r="36" spans="1:26" x14ac:dyDescent="0.35">
      <c r="A36" s="283"/>
      <c r="B36" s="286" t="s">
        <v>298</v>
      </c>
      <c r="C36" s="293"/>
      <c r="D36" s="297">
        <f>D37*D34</f>
        <v>41854.223610400004</v>
      </c>
      <c r="E36" s="293"/>
      <c r="F36" s="297">
        <f>F37*F34</f>
        <v>105000</v>
      </c>
      <c r="G36" s="297"/>
      <c r="H36" s="297">
        <f>H37*H34</f>
        <v>150000</v>
      </c>
      <c r="I36" s="297"/>
      <c r="J36" s="297">
        <f>J37*J34</f>
        <v>23922.3776</v>
      </c>
      <c r="K36" s="297"/>
      <c r="L36" s="297">
        <f>L37*L34</f>
        <v>10167.782169599999</v>
      </c>
      <c r="M36" s="297"/>
      <c r="N36" s="297">
        <f>N37*N34</f>
        <v>39742.0144</v>
      </c>
      <c r="O36" s="297"/>
      <c r="P36" s="297">
        <f>P34*P37</f>
        <v>14338.7644576</v>
      </c>
      <c r="Q36" s="322"/>
      <c r="R36" s="322"/>
      <c r="S36" s="291"/>
      <c r="T36" s="297">
        <f>SUM(C36:P36)</f>
        <v>385025.16223760002</v>
      </c>
      <c r="U36" s="292"/>
      <c r="V36" s="5"/>
      <c r="X36" s="397"/>
      <c r="Z36" s="397"/>
    </row>
    <row r="37" spans="1:26" x14ac:dyDescent="0.35">
      <c r="A37" s="305"/>
      <c r="B37" s="306" t="s">
        <v>137</v>
      </c>
      <c r="C37" s="307"/>
      <c r="D37" s="308">
        <v>6.6319900000000001E-2</v>
      </c>
      <c r="E37" s="309"/>
      <c r="F37" s="308">
        <v>1</v>
      </c>
      <c r="G37" s="308"/>
      <c r="H37" s="308">
        <v>1</v>
      </c>
      <c r="I37" s="308"/>
      <c r="J37" s="308">
        <v>0.77168959999999998</v>
      </c>
      <c r="K37" s="308"/>
      <c r="L37" s="308">
        <v>0.77168959999999998</v>
      </c>
      <c r="M37" s="308"/>
      <c r="N37" s="308">
        <v>0.77168959999999998</v>
      </c>
      <c r="O37" s="308"/>
      <c r="P37" s="308">
        <v>0.77168959999999998</v>
      </c>
      <c r="Q37" s="310"/>
      <c r="R37" s="310"/>
      <c r="S37" s="311"/>
      <c r="T37" s="311"/>
      <c r="U37" s="312"/>
      <c r="V37" s="5"/>
    </row>
    <row r="38" spans="1:26" x14ac:dyDescent="0.35">
      <c r="A38" s="305"/>
      <c r="B38" s="306" t="s">
        <v>138</v>
      </c>
      <c r="C38" s="307"/>
      <c r="D38" s="308">
        <v>7.1504899999999996E-2</v>
      </c>
      <c r="E38" s="309"/>
      <c r="F38" s="308">
        <v>1</v>
      </c>
      <c r="G38" s="308"/>
      <c r="H38" s="308">
        <v>1</v>
      </c>
      <c r="I38" s="308"/>
      <c r="J38" s="308">
        <v>0.780196</v>
      </c>
      <c r="K38" s="308"/>
      <c r="L38" s="308">
        <v>0.780196</v>
      </c>
      <c r="M38" s="308"/>
      <c r="N38" s="308">
        <v>0.780196</v>
      </c>
      <c r="O38" s="308"/>
      <c r="P38" s="308">
        <v>0.780196</v>
      </c>
      <c r="Q38" s="313"/>
      <c r="R38" s="314"/>
      <c r="S38" s="311"/>
      <c r="T38" s="313"/>
      <c r="U38" s="312"/>
      <c r="V38" s="5"/>
    </row>
    <row r="39" spans="1:26"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6" x14ac:dyDescent="0.35">
      <c r="A40" s="278"/>
      <c r="B40" s="279" t="s">
        <v>12</v>
      </c>
      <c r="C40" s="279"/>
      <c r="D40" s="316">
        <v>4.6937999999999997E-3</v>
      </c>
      <c r="E40" s="279"/>
      <c r="F40" s="316">
        <v>7.0188000000000004E-3</v>
      </c>
      <c r="G40" s="315"/>
      <c r="H40" s="316">
        <v>1.8000000000000001E-4</v>
      </c>
      <c r="I40" s="315"/>
      <c r="J40" s="316">
        <v>9.2187999999999992E-3</v>
      </c>
      <c r="K40" s="315"/>
      <c r="L40" s="316">
        <v>2.3800000000000002E-3</v>
      </c>
      <c r="M40" s="315"/>
      <c r="N40" s="316">
        <v>1.48188E-2</v>
      </c>
      <c r="O40" s="315"/>
      <c r="P40" s="316">
        <v>7.9799999999999992E-3</v>
      </c>
      <c r="Q40" s="315"/>
      <c r="R40" s="316"/>
      <c r="S40" s="281"/>
      <c r="T40" s="287"/>
      <c r="U40" s="282"/>
      <c r="V40" s="5"/>
    </row>
    <row r="41" spans="1:26" x14ac:dyDescent="0.35">
      <c r="A41" s="278"/>
      <c r="B41" s="279" t="s">
        <v>13</v>
      </c>
      <c r="C41" s="279"/>
      <c r="D41" s="316">
        <v>5.9765E-3</v>
      </c>
      <c r="E41" s="279"/>
      <c r="F41" s="316">
        <v>8.9187999999999993E-3</v>
      </c>
      <c r="G41" s="315"/>
      <c r="H41" s="316">
        <v>5.6999999999999998E-4</v>
      </c>
      <c r="I41" s="315"/>
      <c r="J41" s="316">
        <v>1.11188E-2</v>
      </c>
      <c r="K41" s="315"/>
      <c r="L41" s="316">
        <v>2.7699999999999999E-3</v>
      </c>
      <c r="M41" s="315"/>
      <c r="N41" s="316">
        <v>1.6718799999999999E-2</v>
      </c>
      <c r="O41" s="315"/>
      <c r="P41" s="316">
        <v>8.3700000000000007E-3</v>
      </c>
      <c r="Q41" s="315"/>
      <c r="R41" s="316"/>
      <c r="S41" s="281"/>
      <c r="T41" s="315" t="s">
        <v>226</v>
      </c>
      <c r="U41" s="282"/>
      <c r="V41" s="5"/>
    </row>
    <row r="42" spans="1:26" x14ac:dyDescent="0.35">
      <c r="A42" s="278"/>
      <c r="B42" s="279" t="s">
        <v>299</v>
      </c>
      <c r="C42" s="279"/>
      <c r="D42" s="287" t="s">
        <v>283</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6" x14ac:dyDescent="0.35">
      <c r="A43" s="278"/>
      <c r="B43" s="279" t="s">
        <v>300</v>
      </c>
      <c r="C43" s="317"/>
      <c r="D43" s="316">
        <f>+D40</f>
        <v>4.6937999999999997E-3</v>
      </c>
      <c r="E43" s="279"/>
      <c r="F43" s="316">
        <f>+F40</f>
        <v>7.0188000000000004E-3</v>
      </c>
      <c r="G43" s="315"/>
      <c r="H43" s="316">
        <v>7.4688000000000003E-3</v>
      </c>
      <c r="I43" s="315"/>
      <c r="J43" s="316">
        <f>+J40</f>
        <v>9.2187999999999992E-3</v>
      </c>
      <c r="K43" s="315"/>
      <c r="L43" s="316">
        <v>9.9488000000000007E-3</v>
      </c>
      <c r="M43" s="315"/>
      <c r="N43" s="316">
        <f>+N40</f>
        <v>1.48188E-2</v>
      </c>
      <c r="O43" s="315"/>
      <c r="P43" s="316">
        <v>1.6048799999999998E-2</v>
      </c>
      <c r="Q43" s="287"/>
      <c r="R43" s="287"/>
      <c r="S43" s="281"/>
      <c r="T43" s="315">
        <f>SUMPRODUCT(D43:P43,D35:P35)/T35</f>
        <v>8.2781373648116458E-3</v>
      </c>
      <c r="U43" s="282"/>
      <c r="V43" s="5"/>
    </row>
    <row r="44" spans="1:26" x14ac:dyDescent="0.35">
      <c r="A44" s="278"/>
      <c r="B44" s="279" t="s">
        <v>301</v>
      </c>
      <c r="C44" s="317"/>
      <c r="D44" s="316">
        <f>+D41</f>
        <v>5.9765E-3</v>
      </c>
      <c r="E44" s="279"/>
      <c r="F44" s="316">
        <f>+F41</f>
        <v>8.9187999999999993E-3</v>
      </c>
      <c r="G44" s="315"/>
      <c r="H44" s="316">
        <v>9.3688E-3</v>
      </c>
      <c r="I44" s="315"/>
      <c r="J44" s="316">
        <f>+J41</f>
        <v>1.11188E-2</v>
      </c>
      <c r="K44" s="315"/>
      <c r="L44" s="316">
        <v>1.18488E-2</v>
      </c>
      <c r="M44" s="315"/>
      <c r="N44" s="316">
        <f>+N41</f>
        <v>1.6718799999999999E-2</v>
      </c>
      <c r="O44" s="315"/>
      <c r="P44" s="316">
        <v>1.7948800000000001E-2</v>
      </c>
      <c r="Q44" s="287"/>
      <c r="R44" s="287"/>
      <c r="S44" s="281"/>
      <c r="T44" s="281"/>
      <c r="U44" s="282"/>
      <c r="V44" s="5"/>
    </row>
    <row r="45" spans="1:26"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6"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6"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6" x14ac:dyDescent="0.35">
      <c r="A48" s="278"/>
      <c r="B48" s="279" t="s">
        <v>302</v>
      </c>
      <c r="C48" s="279"/>
      <c r="D48" s="287" t="s">
        <v>125</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0.29701763227367139</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349</v>
      </c>
      <c r="C54" s="279"/>
      <c r="D54" s="279"/>
      <c r="E54" s="279"/>
      <c r="F54" s="279"/>
      <c r="G54" s="279"/>
      <c r="H54" s="279"/>
      <c r="I54" s="279"/>
      <c r="J54" s="279"/>
      <c r="K54" s="279"/>
      <c r="L54" s="279"/>
      <c r="M54" s="279"/>
      <c r="N54" s="279"/>
      <c r="O54" s="279"/>
      <c r="P54" s="279"/>
      <c r="Q54" s="279"/>
      <c r="R54" s="287"/>
      <c r="S54" s="287"/>
      <c r="T54" s="323" t="s">
        <v>118</v>
      </c>
      <c r="U54" s="282"/>
      <c r="V54" s="5"/>
    </row>
    <row r="55" spans="1:23" x14ac:dyDescent="0.35">
      <c r="A55" s="278"/>
      <c r="B55" s="286" t="s">
        <v>242</v>
      </c>
      <c r="C55" s="286"/>
      <c r="D55" s="286"/>
      <c r="E55" s="286"/>
      <c r="F55" s="286"/>
      <c r="G55" s="286"/>
      <c r="H55" s="286"/>
      <c r="I55" s="286"/>
      <c r="J55" s="286"/>
      <c r="K55" s="286"/>
      <c r="L55" s="286"/>
      <c r="M55" s="286"/>
      <c r="N55" s="286"/>
      <c r="O55" s="286"/>
      <c r="P55" s="286"/>
      <c r="Q55" s="286"/>
      <c r="R55" s="324"/>
      <c r="S55" s="324"/>
      <c r="T55" s="325">
        <v>42719</v>
      </c>
      <c r="U55" s="282"/>
      <c r="V55" s="5"/>
    </row>
    <row r="56" spans="1:23" x14ac:dyDescent="0.35">
      <c r="A56" s="278"/>
      <c r="B56" s="279" t="s">
        <v>128</v>
      </c>
      <c r="C56" s="279"/>
      <c r="D56" s="279"/>
      <c r="E56" s="279"/>
      <c r="F56" s="279"/>
      <c r="G56" s="279"/>
      <c r="H56" s="326"/>
      <c r="I56" s="326"/>
      <c r="J56" s="326"/>
      <c r="K56" s="326"/>
      <c r="L56" s="326"/>
      <c r="M56" s="326"/>
      <c r="N56" s="326"/>
      <c r="O56" s="326"/>
      <c r="P56" s="279">
        <f>+T56-R56+1</f>
        <v>92</v>
      </c>
      <c r="Q56" s="279"/>
      <c r="R56" s="327">
        <v>42536</v>
      </c>
      <c r="S56" s="328"/>
      <c r="T56" s="327">
        <v>42627</v>
      </c>
      <c r="U56" s="282"/>
      <c r="V56" s="5"/>
    </row>
    <row r="57" spans="1:23" x14ac:dyDescent="0.35">
      <c r="A57" s="278"/>
      <c r="B57" s="279" t="s">
        <v>129</v>
      </c>
      <c r="C57" s="279"/>
      <c r="D57" s="279"/>
      <c r="E57" s="279"/>
      <c r="F57" s="279"/>
      <c r="G57" s="279"/>
      <c r="H57" s="279"/>
      <c r="I57" s="279"/>
      <c r="J57" s="279"/>
      <c r="K57" s="279"/>
      <c r="L57" s="279"/>
      <c r="M57" s="279"/>
      <c r="N57" s="279"/>
      <c r="O57" s="279"/>
      <c r="P57" s="279">
        <f>+T57-R57+1</f>
        <v>91</v>
      </c>
      <c r="Q57" s="279"/>
      <c r="R57" s="327">
        <v>42628</v>
      </c>
      <c r="S57" s="328"/>
      <c r="T57" s="327">
        <v>42718</v>
      </c>
      <c r="U57" s="282"/>
      <c r="V57" s="5"/>
    </row>
    <row r="58" spans="1:23" x14ac:dyDescent="0.35">
      <c r="A58" s="278"/>
      <c r="B58" s="279" t="s">
        <v>351</v>
      </c>
      <c r="C58" s="279"/>
      <c r="D58" s="279"/>
      <c r="E58" s="279"/>
      <c r="F58" s="279"/>
      <c r="G58" s="279"/>
      <c r="H58" s="279"/>
      <c r="I58" s="279"/>
      <c r="J58" s="279"/>
      <c r="K58" s="279"/>
      <c r="L58" s="279"/>
      <c r="M58" s="279"/>
      <c r="N58" s="279"/>
      <c r="O58" s="279"/>
      <c r="P58" s="279"/>
      <c r="Q58" s="279"/>
      <c r="R58" s="327"/>
      <c r="S58" s="328"/>
      <c r="T58" s="327" t="s">
        <v>127</v>
      </c>
      <c r="U58" s="282"/>
      <c r="V58" s="5"/>
    </row>
    <row r="59" spans="1:23" x14ac:dyDescent="0.35">
      <c r="A59" s="278"/>
      <c r="B59" s="279" t="s">
        <v>350</v>
      </c>
      <c r="C59" s="279"/>
      <c r="D59" s="279"/>
      <c r="E59" s="279"/>
      <c r="F59" s="279"/>
      <c r="G59" s="279"/>
      <c r="H59" s="279"/>
      <c r="I59" s="279"/>
      <c r="J59" s="279"/>
      <c r="K59" s="279"/>
      <c r="L59" s="279"/>
      <c r="M59" s="279"/>
      <c r="N59" s="279"/>
      <c r="O59" s="279"/>
      <c r="P59" s="279"/>
      <c r="Q59" s="279"/>
      <c r="R59" s="327"/>
      <c r="S59" s="328"/>
      <c r="T59" s="327" t="s">
        <v>162</v>
      </c>
      <c r="U59" s="282"/>
      <c r="V59" s="5"/>
      <c r="W59" s="135"/>
    </row>
    <row r="60" spans="1:23" x14ac:dyDescent="0.35">
      <c r="A60" s="278"/>
      <c r="B60" s="279" t="s">
        <v>16</v>
      </c>
      <c r="C60" s="279"/>
      <c r="D60" s="279"/>
      <c r="E60" s="279"/>
      <c r="F60" s="279"/>
      <c r="G60" s="279"/>
      <c r="H60" s="279"/>
      <c r="I60" s="279"/>
      <c r="J60" s="279"/>
      <c r="K60" s="279"/>
      <c r="L60" s="279"/>
      <c r="M60" s="279"/>
      <c r="N60" s="279"/>
      <c r="O60" s="279"/>
      <c r="P60" s="279"/>
      <c r="Q60" s="279"/>
      <c r="R60" s="327"/>
      <c r="S60" s="328"/>
      <c r="T60" s="327">
        <v>42705</v>
      </c>
      <c r="U60" s="282"/>
      <c r="V60" s="5"/>
    </row>
    <row r="61" spans="1:23" x14ac:dyDescent="0.35">
      <c r="A61" s="228"/>
      <c r="B61" s="258"/>
      <c r="C61" s="258"/>
      <c r="D61" s="258"/>
      <c r="E61" s="258"/>
      <c r="F61" s="258"/>
      <c r="G61" s="258"/>
      <c r="H61" s="258"/>
      <c r="I61" s="258"/>
      <c r="J61" s="258"/>
      <c r="K61" s="258"/>
      <c r="L61" s="258"/>
      <c r="M61" s="258"/>
      <c r="N61" s="258"/>
      <c r="O61" s="258"/>
      <c r="P61" s="258"/>
      <c r="Q61" s="258"/>
      <c r="R61" s="276"/>
      <c r="S61" s="277"/>
      <c r="T61" s="276"/>
      <c r="U61" s="258"/>
      <c r="V61" s="5"/>
    </row>
    <row r="62" spans="1:23" x14ac:dyDescent="0.35">
      <c r="A62" s="228"/>
      <c r="B62" s="229"/>
      <c r="C62" s="229"/>
      <c r="D62" s="229"/>
      <c r="E62" s="229"/>
      <c r="F62" s="229"/>
      <c r="G62" s="229"/>
      <c r="H62" s="229"/>
      <c r="I62" s="229"/>
      <c r="J62" s="229"/>
      <c r="K62" s="229"/>
      <c r="L62" s="229"/>
      <c r="M62" s="229"/>
      <c r="N62" s="229"/>
      <c r="O62" s="229"/>
      <c r="P62" s="229"/>
      <c r="Q62" s="229"/>
      <c r="R62" s="230"/>
      <c r="S62" s="231"/>
      <c r="T62" s="230"/>
      <c r="U62" s="229"/>
      <c r="V62" s="5"/>
    </row>
    <row r="63" spans="1:23" ht="18" thickBot="1" x14ac:dyDescent="0.4">
      <c r="A63" s="232"/>
      <c r="B63" s="233" t="s">
        <v>347</v>
      </c>
      <c r="C63" s="234"/>
      <c r="D63" s="234"/>
      <c r="E63" s="234"/>
      <c r="F63" s="234"/>
      <c r="G63" s="234"/>
      <c r="H63" s="234"/>
      <c r="I63" s="234"/>
      <c r="J63" s="234"/>
      <c r="K63" s="234"/>
      <c r="L63" s="234"/>
      <c r="M63" s="234"/>
      <c r="N63" s="234"/>
      <c r="O63" s="234"/>
      <c r="P63" s="234"/>
      <c r="Q63" s="234"/>
      <c r="R63" s="234"/>
      <c r="S63" s="234"/>
      <c r="T63" s="235"/>
      <c r="U63" s="236"/>
      <c r="V63" s="5"/>
    </row>
    <row r="64" spans="1:23" x14ac:dyDescent="0.35">
      <c r="A64" s="252"/>
      <c r="B64" s="385" t="s">
        <v>17</v>
      </c>
      <c r="C64" s="253"/>
      <c r="D64" s="253"/>
      <c r="E64" s="253"/>
      <c r="F64" s="253"/>
      <c r="G64" s="253"/>
      <c r="H64" s="253"/>
      <c r="I64" s="253"/>
      <c r="J64" s="253"/>
      <c r="K64" s="253"/>
      <c r="L64" s="253"/>
      <c r="M64" s="253"/>
      <c r="N64" s="253"/>
      <c r="O64" s="253"/>
      <c r="P64" s="253"/>
      <c r="Q64" s="253"/>
      <c r="R64" s="253"/>
      <c r="S64" s="253"/>
      <c r="T64" s="259"/>
      <c r="U64" s="253"/>
      <c r="V64" s="5"/>
    </row>
    <row r="65" spans="1:22" x14ac:dyDescent="0.35">
      <c r="A65" s="174"/>
      <c r="B65" s="182"/>
      <c r="C65" s="176"/>
      <c r="D65" s="176"/>
      <c r="E65" s="176"/>
      <c r="F65" s="176"/>
      <c r="G65" s="176"/>
      <c r="H65" s="176"/>
      <c r="I65" s="176"/>
      <c r="J65" s="176"/>
      <c r="K65" s="176"/>
      <c r="L65" s="176"/>
      <c r="M65" s="176"/>
      <c r="N65" s="176"/>
      <c r="O65" s="176"/>
      <c r="P65" s="176"/>
      <c r="Q65" s="176"/>
      <c r="R65" s="176"/>
      <c r="S65" s="176"/>
      <c r="T65" s="193"/>
      <c r="U65" s="176"/>
      <c r="V65" s="5"/>
    </row>
    <row r="66" spans="1:22" ht="45" x14ac:dyDescent="0.35">
      <c r="A66" s="174"/>
      <c r="B66" s="194" t="s">
        <v>18</v>
      </c>
      <c r="C66" s="195"/>
      <c r="D66" s="195"/>
      <c r="E66" s="195"/>
      <c r="F66" s="195"/>
      <c r="G66" s="195"/>
      <c r="H66" s="195"/>
      <c r="I66" s="195"/>
      <c r="J66" s="195" t="s">
        <v>98</v>
      </c>
      <c r="K66" s="195"/>
      <c r="L66" s="195" t="s">
        <v>100</v>
      </c>
      <c r="M66" s="195"/>
      <c r="N66" s="195" t="s">
        <v>102</v>
      </c>
      <c r="O66" s="195"/>
      <c r="P66" s="195" t="s">
        <v>104</v>
      </c>
      <c r="Q66" s="195"/>
      <c r="R66" s="195" t="s">
        <v>111</v>
      </c>
      <c r="S66" s="195"/>
      <c r="T66" s="196" t="s">
        <v>119</v>
      </c>
      <c r="U66" s="197"/>
      <c r="V66" s="5"/>
    </row>
    <row r="67" spans="1:22" x14ac:dyDescent="0.35">
      <c r="A67" s="305"/>
      <c r="B67" s="279" t="s">
        <v>19</v>
      </c>
      <c r="C67" s="332"/>
      <c r="D67" s="332"/>
      <c r="E67" s="332"/>
      <c r="F67" s="332"/>
      <c r="G67" s="332"/>
      <c r="H67" s="332"/>
      <c r="I67" s="332"/>
      <c r="J67" s="332">
        <v>1000296</v>
      </c>
      <c r="K67" s="332"/>
      <c r="L67" s="333">
        <v>389269</v>
      </c>
      <c r="M67" s="332"/>
      <c r="N67" s="332">
        <f>4244+54</f>
        <v>4298</v>
      </c>
      <c r="O67" s="332"/>
      <c r="P67" s="332">
        <v>54</v>
      </c>
      <c r="Q67" s="332"/>
      <c r="R67" s="332">
        <v>0</v>
      </c>
      <c r="S67" s="332"/>
      <c r="T67" s="333">
        <f>+L67-N67+P67-R67</f>
        <v>385025</v>
      </c>
      <c r="U67" s="282"/>
      <c r="V67" s="5"/>
    </row>
    <row r="68" spans="1:22" x14ac:dyDescent="0.35">
      <c r="A68" s="305"/>
      <c r="B68" s="279" t="s">
        <v>20</v>
      </c>
      <c r="C68" s="332"/>
      <c r="D68" s="332"/>
      <c r="E68" s="332"/>
      <c r="F68" s="332"/>
      <c r="G68" s="332"/>
      <c r="H68" s="332"/>
      <c r="I68" s="332"/>
      <c r="J68" s="332">
        <v>54</v>
      </c>
      <c r="K68" s="332"/>
      <c r="L68" s="333">
        <v>0</v>
      </c>
      <c r="M68" s="332"/>
      <c r="N68" s="332">
        <v>0</v>
      </c>
      <c r="O68" s="332"/>
      <c r="P68" s="332">
        <v>0</v>
      </c>
      <c r="Q68" s="332"/>
      <c r="R68" s="332">
        <v>0</v>
      </c>
      <c r="S68" s="332"/>
      <c r="T68" s="333">
        <v>0</v>
      </c>
      <c r="U68" s="282"/>
      <c r="V68" s="5"/>
    </row>
    <row r="69" spans="1:22" x14ac:dyDescent="0.35">
      <c r="A69" s="305"/>
      <c r="B69" s="279"/>
      <c r="C69" s="332"/>
      <c r="D69" s="332"/>
      <c r="E69" s="332"/>
      <c r="F69" s="332"/>
      <c r="G69" s="332"/>
      <c r="H69" s="332"/>
      <c r="I69" s="332"/>
      <c r="J69" s="332"/>
      <c r="K69" s="332"/>
      <c r="L69" s="333"/>
      <c r="M69" s="332"/>
      <c r="N69" s="332"/>
      <c r="O69" s="332"/>
      <c r="P69" s="332"/>
      <c r="Q69" s="332"/>
      <c r="R69" s="332"/>
      <c r="S69" s="332"/>
      <c r="T69" s="333"/>
      <c r="U69" s="282"/>
      <c r="V69" s="5"/>
    </row>
    <row r="70" spans="1:22" x14ac:dyDescent="0.35">
      <c r="A70" s="305"/>
      <c r="B70" s="279" t="s">
        <v>21</v>
      </c>
      <c r="C70" s="332"/>
      <c r="D70" s="332"/>
      <c r="E70" s="332"/>
      <c r="F70" s="332"/>
      <c r="G70" s="332"/>
      <c r="H70" s="332"/>
      <c r="I70" s="332"/>
      <c r="J70" s="332">
        <f>SUM(J67:J69)</f>
        <v>1000350</v>
      </c>
      <c r="K70" s="332"/>
      <c r="L70" s="332">
        <f>L67+L68</f>
        <v>389269</v>
      </c>
      <c r="M70" s="332"/>
      <c r="N70" s="332">
        <f>SUM(N67:N69)</f>
        <v>4298</v>
      </c>
      <c r="O70" s="332"/>
      <c r="P70" s="332">
        <f>SUM(P67:P69)</f>
        <v>54</v>
      </c>
      <c r="Q70" s="332"/>
      <c r="R70" s="332">
        <f>SUM(R67:R69)</f>
        <v>0</v>
      </c>
      <c r="S70" s="332"/>
      <c r="T70" s="332">
        <f>SUM(T67:T69)</f>
        <v>385025</v>
      </c>
      <c r="U70" s="282"/>
      <c r="V70" s="5"/>
    </row>
    <row r="71" spans="1:22" x14ac:dyDescent="0.35">
      <c r="A71" s="174"/>
      <c r="B71" s="329"/>
      <c r="C71" s="330"/>
      <c r="D71" s="330"/>
      <c r="E71" s="330"/>
      <c r="F71" s="330"/>
      <c r="G71" s="330"/>
      <c r="H71" s="330"/>
      <c r="I71" s="330"/>
      <c r="J71" s="330"/>
      <c r="K71" s="330"/>
      <c r="L71" s="330"/>
      <c r="M71" s="330"/>
      <c r="N71" s="330"/>
      <c r="O71" s="330"/>
      <c r="P71" s="330"/>
      <c r="Q71" s="330"/>
      <c r="R71" s="330"/>
      <c r="S71" s="330"/>
      <c r="T71" s="331"/>
      <c r="U71" s="329"/>
      <c r="V71" s="5"/>
    </row>
    <row r="72" spans="1:22" x14ac:dyDescent="0.35">
      <c r="A72" s="174"/>
      <c r="B72" s="178" t="s">
        <v>22</v>
      </c>
      <c r="C72" s="198"/>
      <c r="D72" s="198"/>
      <c r="E72" s="198"/>
      <c r="F72" s="198"/>
      <c r="G72" s="198"/>
      <c r="H72" s="198"/>
      <c r="I72" s="198"/>
      <c r="J72" s="198"/>
      <c r="K72" s="198"/>
      <c r="L72" s="198"/>
      <c r="M72" s="198"/>
      <c r="N72" s="198"/>
      <c r="O72" s="198"/>
      <c r="P72" s="198"/>
      <c r="Q72" s="198"/>
      <c r="R72" s="198"/>
      <c r="S72" s="198"/>
      <c r="T72" s="199"/>
      <c r="U72" s="176"/>
      <c r="V72" s="5"/>
    </row>
    <row r="73" spans="1:22" x14ac:dyDescent="0.35">
      <c r="A73" s="174"/>
      <c r="B73" s="176"/>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278"/>
      <c r="B74" s="279" t="s">
        <v>19</v>
      </c>
      <c r="C74" s="332"/>
      <c r="D74" s="332"/>
      <c r="E74" s="332"/>
      <c r="F74" s="332"/>
      <c r="G74" s="332"/>
      <c r="H74" s="332"/>
      <c r="I74" s="332"/>
      <c r="J74" s="332"/>
      <c r="K74" s="332"/>
      <c r="L74" s="332"/>
      <c r="M74" s="332"/>
      <c r="N74" s="332"/>
      <c r="O74" s="332"/>
      <c r="P74" s="332"/>
      <c r="Q74" s="332"/>
      <c r="R74" s="332"/>
      <c r="S74" s="332"/>
      <c r="T74" s="332"/>
      <c r="U74" s="282"/>
      <c r="V74" s="5"/>
    </row>
    <row r="75" spans="1:22" x14ac:dyDescent="0.35">
      <c r="A75" s="278"/>
      <c r="B75" s="279" t="s">
        <v>20</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t="s">
        <v>21</v>
      </c>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t="s">
        <v>23</v>
      </c>
      <c r="C79" s="332"/>
      <c r="D79" s="332"/>
      <c r="E79" s="332"/>
      <c r="F79" s="332"/>
      <c r="G79" s="332"/>
      <c r="H79" s="332"/>
      <c r="I79" s="332"/>
      <c r="J79" s="332">
        <v>0</v>
      </c>
      <c r="K79" s="332"/>
      <c r="L79" s="332">
        <v>0</v>
      </c>
      <c r="M79" s="332"/>
      <c r="N79" s="332"/>
      <c r="O79" s="332"/>
      <c r="P79" s="332"/>
      <c r="Q79" s="332"/>
      <c r="R79" s="332"/>
      <c r="S79" s="332"/>
      <c r="T79" s="333">
        <v>0</v>
      </c>
      <c r="U79" s="282"/>
      <c r="V79" s="5"/>
    </row>
    <row r="80" spans="1:22" x14ac:dyDescent="0.35">
      <c r="A80" s="278"/>
      <c r="B80" s="279" t="s">
        <v>124</v>
      </c>
      <c r="C80" s="332"/>
      <c r="D80" s="332"/>
      <c r="E80" s="332"/>
      <c r="F80" s="332"/>
      <c r="G80" s="332"/>
      <c r="H80" s="332"/>
      <c r="I80" s="332"/>
      <c r="J80" s="332">
        <v>0</v>
      </c>
      <c r="K80" s="332"/>
      <c r="L80" s="332">
        <v>0</v>
      </c>
      <c r="M80" s="332"/>
      <c r="N80" s="332"/>
      <c r="O80" s="332"/>
      <c r="P80" s="332"/>
      <c r="Q80" s="332"/>
      <c r="R80" s="332"/>
      <c r="S80" s="332"/>
      <c r="T80" s="332">
        <f>SUM(J80:P80)</f>
        <v>0</v>
      </c>
      <c r="U80" s="282"/>
      <c r="V80" s="5"/>
    </row>
    <row r="81" spans="1:22" x14ac:dyDescent="0.35">
      <c r="A81" s="278"/>
      <c r="B81" s="279" t="s">
        <v>153</v>
      </c>
      <c r="C81" s="332"/>
      <c r="D81" s="332"/>
      <c r="E81" s="332"/>
      <c r="F81" s="332"/>
      <c r="G81" s="332"/>
      <c r="H81" s="332"/>
      <c r="I81" s="332"/>
      <c r="J81" s="332">
        <v>3</v>
      </c>
      <c r="K81" s="332"/>
      <c r="L81" s="332">
        <v>0</v>
      </c>
      <c r="M81" s="332"/>
      <c r="N81" s="332"/>
      <c r="O81" s="332"/>
      <c r="P81" s="332"/>
      <c r="Q81" s="332"/>
      <c r="R81" s="332"/>
      <c r="S81" s="332"/>
      <c r="T81" s="332">
        <f>+L81+N81</f>
        <v>0</v>
      </c>
      <c r="U81" s="282"/>
      <c r="V81" s="5"/>
    </row>
    <row r="82" spans="1:22" x14ac:dyDescent="0.35">
      <c r="A82" s="278"/>
      <c r="B82" s="279" t="s">
        <v>25</v>
      </c>
      <c r="C82" s="332"/>
      <c r="D82" s="332"/>
      <c r="E82" s="332"/>
      <c r="F82" s="332"/>
      <c r="G82" s="332"/>
      <c r="H82" s="332"/>
      <c r="I82" s="332"/>
      <c r="J82" s="332">
        <v>0</v>
      </c>
      <c r="K82" s="332"/>
      <c r="L82" s="332">
        <v>0</v>
      </c>
      <c r="M82" s="332"/>
      <c r="N82" s="332"/>
      <c r="O82" s="332"/>
      <c r="P82" s="332"/>
      <c r="Q82" s="332"/>
      <c r="R82" s="332"/>
      <c r="S82" s="332"/>
      <c r="T82" s="332">
        <v>0</v>
      </c>
      <c r="U82" s="282"/>
      <c r="V82" s="5"/>
    </row>
    <row r="83" spans="1:22" x14ac:dyDescent="0.35">
      <c r="A83" s="278"/>
      <c r="B83" s="279" t="s">
        <v>26</v>
      </c>
      <c r="C83" s="332"/>
      <c r="D83" s="332"/>
      <c r="E83" s="332"/>
      <c r="F83" s="332"/>
      <c r="G83" s="332"/>
      <c r="H83" s="332"/>
      <c r="I83" s="332"/>
      <c r="J83" s="332">
        <f>SUM(J70:J82)</f>
        <v>1000353</v>
      </c>
      <c r="K83" s="332"/>
      <c r="L83" s="332">
        <f>SUM(L70:L82)</f>
        <v>389269</v>
      </c>
      <c r="M83" s="332"/>
      <c r="N83" s="332"/>
      <c r="O83" s="332"/>
      <c r="P83" s="332"/>
      <c r="Q83" s="332"/>
      <c r="R83" s="332"/>
      <c r="S83" s="332"/>
      <c r="T83" s="332">
        <f>SUM(T70:T82)</f>
        <v>385025</v>
      </c>
      <c r="U83" s="282"/>
      <c r="V83" s="5"/>
    </row>
    <row r="84" spans="1:22" x14ac:dyDescent="0.35">
      <c r="A84" s="174"/>
      <c r="B84" s="329"/>
      <c r="C84" s="330"/>
      <c r="D84" s="330"/>
      <c r="E84" s="330"/>
      <c r="F84" s="330"/>
      <c r="G84" s="330"/>
      <c r="H84" s="330"/>
      <c r="I84" s="330"/>
      <c r="J84" s="330"/>
      <c r="K84" s="330"/>
      <c r="L84" s="330"/>
      <c r="M84" s="330"/>
      <c r="N84" s="330"/>
      <c r="O84" s="330"/>
      <c r="P84" s="330"/>
      <c r="Q84" s="330"/>
      <c r="R84" s="330"/>
      <c r="S84" s="330"/>
      <c r="T84" s="331"/>
      <c r="U84" s="329"/>
      <c r="V84" s="5"/>
    </row>
    <row r="85" spans="1:22" x14ac:dyDescent="0.35">
      <c r="A85" s="174"/>
      <c r="B85" s="176"/>
      <c r="C85" s="176"/>
      <c r="D85" s="176"/>
      <c r="E85" s="176"/>
      <c r="F85" s="176"/>
      <c r="G85" s="176"/>
      <c r="H85" s="176"/>
      <c r="I85" s="176"/>
      <c r="J85" s="176"/>
      <c r="K85" s="176"/>
      <c r="L85" s="176"/>
      <c r="M85" s="176"/>
      <c r="N85" s="176"/>
      <c r="O85" s="176"/>
      <c r="P85" s="176"/>
      <c r="Q85" s="176"/>
      <c r="R85" s="176"/>
      <c r="S85" s="176"/>
      <c r="T85" s="176"/>
      <c r="U85" s="176"/>
      <c r="V85" s="5"/>
    </row>
    <row r="86" spans="1:22" x14ac:dyDescent="0.35">
      <c r="A86" s="252"/>
      <c r="B86" s="385" t="s">
        <v>27</v>
      </c>
      <c r="C86" s="385"/>
      <c r="D86" s="385"/>
      <c r="E86" s="385"/>
      <c r="F86" s="385"/>
      <c r="G86" s="385"/>
      <c r="H86" s="386"/>
      <c r="I86" s="386"/>
      <c r="J86" s="387" t="s">
        <v>99</v>
      </c>
      <c r="K86" s="386"/>
      <c r="L86" s="388">
        <f>+R197</f>
        <v>42704</v>
      </c>
      <c r="M86" s="386"/>
      <c r="N86" s="386"/>
      <c r="O86" s="386"/>
      <c r="P86" s="386"/>
      <c r="Q86" s="386"/>
      <c r="R86" s="386" t="s">
        <v>112</v>
      </c>
      <c r="S86" s="386"/>
      <c r="T86" s="386" t="s">
        <v>120</v>
      </c>
      <c r="U86" s="253"/>
      <c r="V86" s="5"/>
    </row>
    <row r="87" spans="1:22" x14ac:dyDescent="0.35">
      <c r="A87" s="305"/>
      <c r="B87" s="279" t="s">
        <v>28</v>
      </c>
      <c r="C87" s="279"/>
      <c r="D87" s="279"/>
      <c r="E87" s="279"/>
      <c r="F87" s="279"/>
      <c r="G87" s="279"/>
      <c r="H87" s="279"/>
      <c r="I87" s="279"/>
      <c r="J87" s="279"/>
      <c r="K87" s="279"/>
      <c r="L87" s="279"/>
      <c r="M87" s="279"/>
      <c r="N87" s="279"/>
      <c r="O87" s="279"/>
      <c r="P87" s="279"/>
      <c r="Q87" s="279"/>
      <c r="R87" s="332">
        <v>0</v>
      </c>
      <c r="S87" s="279"/>
      <c r="T87" s="333">
        <v>0</v>
      </c>
      <c r="U87" s="282"/>
      <c r="V87" s="5"/>
    </row>
    <row r="88" spans="1:22" x14ac:dyDescent="0.35">
      <c r="A88" s="305"/>
      <c r="B88" s="279" t="s">
        <v>29</v>
      </c>
      <c r="C88" s="279"/>
      <c r="D88" s="279"/>
      <c r="E88" s="279"/>
      <c r="F88" s="279"/>
      <c r="G88" s="279"/>
      <c r="H88" s="319"/>
      <c r="I88" s="335"/>
      <c r="J88" s="319"/>
      <c r="K88" s="279"/>
      <c r="L88" s="336"/>
      <c r="M88" s="279"/>
      <c r="N88" s="279"/>
      <c r="O88" s="279"/>
      <c r="P88" s="279"/>
      <c r="Q88" s="279"/>
      <c r="R88" s="332">
        <f>4298-59</f>
        <v>4239</v>
      </c>
      <c r="S88" s="279"/>
      <c r="T88" s="333"/>
      <c r="U88" s="282"/>
      <c r="V88" s="5"/>
    </row>
    <row r="89" spans="1:22" x14ac:dyDescent="0.35">
      <c r="A89" s="305"/>
      <c r="B89" s="279" t="s">
        <v>259</v>
      </c>
      <c r="C89" s="279"/>
      <c r="D89" s="279"/>
      <c r="E89" s="279"/>
      <c r="F89" s="279"/>
      <c r="G89" s="279"/>
      <c r="H89" s="319"/>
      <c r="I89" s="335"/>
      <c r="J89" s="319"/>
      <c r="K89" s="279"/>
      <c r="L89" s="336"/>
      <c r="M89" s="279"/>
      <c r="N89" s="279"/>
      <c r="O89" s="279"/>
      <c r="P89" s="279"/>
      <c r="Q89" s="279"/>
      <c r="R89" s="332"/>
      <c r="S89" s="279"/>
      <c r="T89" s="333">
        <f>1832+952-369-241</f>
        <v>2174</v>
      </c>
      <c r="U89" s="282"/>
      <c r="V89" s="5"/>
    </row>
    <row r="90" spans="1:22" x14ac:dyDescent="0.35">
      <c r="A90" s="305"/>
      <c r="B90" s="279" t="s">
        <v>254</v>
      </c>
      <c r="C90" s="279"/>
      <c r="D90" s="279"/>
      <c r="E90" s="279"/>
      <c r="F90" s="279"/>
      <c r="G90" s="279"/>
      <c r="H90" s="319"/>
      <c r="I90" s="335"/>
      <c r="J90" s="319"/>
      <c r="K90" s="279"/>
      <c r="L90" s="336"/>
      <c r="M90" s="279"/>
      <c r="N90" s="279"/>
      <c r="O90" s="279"/>
      <c r="P90" s="279"/>
      <c r="Q90" s="279"/>
      <c r="R90" s="332"/>
      <c r="S90" s="279"/>
      <c r="T90" s="333">
        <f>110+37</f>
        <v>147</v>
      </c>
      <c r="U90" s="282"/>
      <c r="V90" s="5"/>
    </row>
    <row r="91" spans="1:22" x14ac:dyDescent="0.35">
      <c r="A91" s="305"/>
      <c r="B91" s="279" t="s">
        <v>255</v>
      </c>
      <c r="C91" s="279"/>
      <c r="D91" s="279"/>
      <c r="E91" s="279"/>
      <c r="F91" s="279"/>
      <c r="G91" s="279"/>
      <c r="H91" s="319"/>
      <c r="I91" s="335"/>
      <c r="J91" s="319"/>
      <c r="K91" s="279"/>
      <c r="L91" s="336"/>
      <c r="M91" s="279"/>
      <c r="N91" s="279"/>
      <c r="O91" s="279"/>
      <c r="P91" s="279"/>
      <c r="Q91" s="279"/>
      <c r="R91" s="332"/>
      <c r="S91" s="279"/>
      <c r="T91" s="333">
        <v>29</v>
      </c>
      <c r="U91" s="282"/>
      <c r="V91" s="5"/>
    </row>
    <row r="92" spans="1:22" x14ac:dyDescent="0.35">
      <c r="A92" s="305"/>
      <c r="B92" s="279" t="s">
        <v>273</v>
      </c>
      <c r="C92" s="279"/>
      <c r="D92" s="279"/>
      <c r="E92" s="279"/>
      <c r="F92" s="279"/>
      <c r="G92" s="279"/>
      <c r="H92" s="319"/>
      <c r="I92" s="335"/>
      <c r="J92" s="319"/>
      <c r="K92" s="279"/>
      <c r="L92" s="336"/>
      <c r="M92" s="279"/>
      <c r="N92" s="279"/>
      <c r="O92" s="279"/>
      <c r="P92" s="279"/>
      <c r="Q92" s="279"/>
      <c r="R92" s="332"/>
      <c r="S92" s="279"/>
      <c r="T92" s="333">
        <v>0</v>
      </c>
      <c r="U92" s="282"/>
      <c r="V92" s="5"/>
    </row>
    <row r="93" spans="1:22" x14ac:dyDescent="0.35">
      <c r="A93" s="305"/>
      <c r="B93" s="279" t="s">
        <v>142</v>
      </c>
      <c r="C93" s="279"/>
      <c r="D93" s="279"/>
      <c r="E93" s="279"/>
      <c r="F93" s="279"/>
      <c r="G93" s="279"/>
      <c r="H93" s="279"/>
      <c r="I93" s="279"/>
      <c r="J93" s="279"/>
      <c r="K93" s="279"/>
      <c r="L93" s="279"/>
      <c r="M93" s="279"/>
      <c r="N93" s="279"/>
      <c r="O93" s="279"/>
      <c r="P93" s="279"/>
      <c r="Q93" s="279"/>
      <c r="R93" s="332"/>
      <c r="S93" s="279"/>
      <c r="T93" s="333">
        <v>0</v>
      </c>
      <c r="U93" s="282"/>
      <c r="V93" s="5"/>
    </row>
    <row r="94" spans="1:22" x14ac:dyDescent="0.35">
      <c r="A94" s="305"/>
      <c r="B94" s="279" t="s">
        <v>234</v>
      </c>
      <c r="C94" s="279"/>
      <c r="D94" s="279"/>
      <c r="E94" s="279"/>
      <c r="F94" s="279"/>
      <c r="G94" s="279"/>
      <c r="H94" s="279"/>
      <c r="I94" s="279"/>
      <c r="J94" s="279"/>
      <c r="K94" s="279"/>
      <c r="L94" s="279"/>
      <c r="M94" s="279"/>
      <c r="N94" s="279"/>
      <c r="O94" s="279"/>
      <c r="P94" s="279"/>
      <c r="Q94" s="279"/>
      <c r="R94" s="332"/>
      <c r="S94" s="279"/>
      <c r="T94" s="333">
        <v>65</v>
      </c>
      <c r="U94" s="282"/>
      <c r="V94" s="5"/>
    </row>
    <row r="95" spans="1:22" x14ac:dyDescent="0.35">
      <c r="A95" s="305"/>
      <c r="B95" s="279" t="s">
        <v>30</v>
      </c>
      <c r="C95" s="279"/>
      <c r="D95" s="279"/>
      <c r="E95" s="279"/>
      <c r="F95" s="279"/>
      <c r="G95" s="279"/>
      <c r="H95" s="279"/>
      <c r="I95" s="279"/>
      <c r="J95" s="279"/>
      <c r="K95" s="279"/>
      <c r="L95" s="279"/>
      <c r="M95" s="279"/>
      <c r="N95" s="279"/>
      <c r="O95" s="279"/>
      <c r="P95" s="279"/>
      <c r="Q95" s="279"/>
      <c r="R95" s="332">
        <f>SUM(R87:R94)</f>
        <v>4239</v>
      </c>
      <c r="S95" s="279"/>
      <c r="T95" s="332">
        <f>SUM(T87:T94)</f>
        <v>2415</v>
      </c>
      <c r="U95" s="282"/>
      <c r="V95" s="5"/>
    </row>
    <row r="96" spans="1:22" x14ac:dyDescent="0.35">
      <c r="A96" s="305"/>
      <c r="B96" s="279" t="s">
        <v>170</v>
      </c>
      <c r="C96" s="279"/>
      <c r="D96" s="279"/>
      <c r="E96" s="279"/>
      <c r="F96" s="279"/>
      <c r="G96" s="279"/>
      <c r="H96" s="279"/>
      <c r="I96" s="279"/>
      <c r="J96" s="279"/>
      <c r="K96" s="279"/>
      <c r="L96" s="279"/>
      <c r="M96" s="279"/>
      <c r="N96" s="279"/>
      <c r="O96" s="279"/>
      <c r="P96" s="279"/>
      <c r="Q96" s="279"/>
      <c r="R96" s="332">
        <f>-T96</f>
        <v>0</v>
      </c>
      <c r="S96" s="279"/>
      <c r="T96" s="332">
        <v>0</v>
      </c>
      <c r="U96" s="282"/>
      <c r="V96" s="5"/>
    </row>
    <row r="97" spans="1:23" x14ac:dyDescent="0.35">
      <c r="A97" s="305"/>
      <c r="B97" s="279" t="s">
        <v>31</v>
      </c>
      <c r="C97" s="279"/>
      <c r="D97" s="279"/>
      <c r="E97" s="279"/>
      <c r="F97" s="279"/>
      <c r="G97" s="279"/>
      <c r="H97" s="279"/>
      <c r="I97" s="279"/>
      <c r="J97" s="279"/>
      <c r="K97" s="279"/>
      <c r="L97" s="279"/>
      <c r="M97" s="279"/>
      <c r="N97" s="279"/>
      <c r="O97" s="279"/>
      <c r="P97" s="279"/>
      <c r="Q97" s="279"/>
      <c r="R97" s="332">
        <f>-T97</f>
        <v>0</v>
      </c>
      <c r="S97" s="279"/>
      <c r="T97" s="333">
        <v>0</v>
      </c>
      <c r="U97" s="282"/>
      <c r="V97" s="5"/>
    </row>
    <row r="98" spans="1:23" x14ac:dyDescent="0.35">
      <c r="A98" s="305"/>
      <c r="B98" s="279" t="s">
        <v>285</v>
      </c>
      <c r="C98" s="279"/>
      <c r="D98" s="279"/>
      <c r="E98" s="279"/>
      <c r="F98" s="279"/>
      <c r="G98" s="279"/>
      <c r="H98" s="279"/>
      <c r="I98" s="279"/>
      <c r="J98" s="279"/>
      <c r="K98" s="279"/>
      <c r="L98" s="279"/>
      <c r="M98" s="279"/>
      <c r="N98" s="279"/>
      <c r="O98" s="279"/>
      <c r="P98" s="279"/>
      <c r="Q98" s="279"/>
      <c r="R98" s="332"/>
      <c r="S98" s="279"/>
      <c r="T98" s="333">
        <v>-93</v>
      </c>
      <c r="U98" s="282"/>
      <c r="V98" s="5"/>
    </row>
    <row r="99" spans="1:23" x14ac:dyDescent="0.35">
      <c r="A99" s="305"/>
      <c r="B99" s="279" t="s">
        <v>32</v>
      </c>
      <c r="C99" s="279"/>
      <c r="D99" s="279"/>
      <c r="E99" s="279"/>
      <c r="F99" s="279"/>
      <c r="G99" s="279"/>
      <c r="H99" s="279"/>
      <c r="I99" s="279"/>
      <c r="J99" s="279"/>
      <c r="K99" s="279"/>
      <c r="L99" s="279"/>
      <c r="M99" s="279"/>
      <c r="N99" s="279"/>
      <c r="O99" s="279"/>
      <c r="P99" s="279"/>
      <c r="Q99" s="279"/>
      <c r="R99" s="332">
        <f>R95+R97+R96</f>
        <v>4239</v>
      </c>
      <c r="S99" s="279"/>
      <c r="T99" s="332">
        <f>T95+T97+T96+T98</f>
        <v>2322</v>
      </c>
      <c r="U99" s="282"/>
      <c r="V99" s="5"/>
    </row>
    <row r="100" spans="1:23" x14ac:dyDescent="0.35">
      <c r="A100" s="305"/>
      <c r="B100" s="337" t="s">
        <v>33</v>
      </c>
      <c r="C100" s="307"/>
      <c r="D100" s="307"/>
      <c r="E100" s="307"/>
      <c r="F100" s="307"/>
      <c r="G100" s="307"/>
      <c r="H100" s="307"/>
      <c r="I100" s="307"/>
      <c r="J100" s="307"/>
      <c r="K100" s="307"/>
      <c r="L100" s="307"/>
      <c r="M100" s="307"/>
      <c r="N100" s="307"/>
      <c r="O100" s="307"/>
      <c r="P100" s="307"/>
      <c r="Q100" s="307"/>
      <c r="R100" s="338"/>
      <c r="S100" s="307"/>
      <c r="T100" s="339"/>
      <c r="U100" s="312"/>
      <c r="V100" s="5"/>
    </row>
    <row r="101" spans="1:23" x14ac:dyDescent="0.35">
      <c r="A101" s="278">
        <v>1</v>
      </c>
      <c r="B101" s="279" t="s">
        <v>34</v>
      </c>
      <c r="C101" s="279"/>
      <c r="D101" s="279"/>
      <c r="E101" s="279"/>
      <c r="F101" s="279"/>
      <c r="G101" s="279"/>
      <c r="H101" s="279"/>
      <c r="I101" s="279"/>
      <c r="J101" s="279"/>
      <c r="K101" s="279"/>
      <c r="L101" s="279"/>
      <c r="M101" s="279"/>
      <c r="N101" s="279"/>
      <c r="O101" s="279"/>
      <c r="P101" s="279"/>
      <c r="Q101" s="279"/>
      <c r="R101" s="279"/>
      <c r="S101" s="279"/>
      <c r="T101" s="333">
        <v>0</v>
      </c>
      <c r="U101" s="282"/>
      <c r="V101" s="5"/>
    </row>
    <row r="102" spans="1:23" x14ac:dyDescent="0.35">
      <c r="A102" s="278">
        <f>+A101+1</f>
        <v>2</v>
      </c>
      <c r="B102" s="394" t="s">
        <v>325</v>
      </c>
      <c r="C102" s="279"/>
      <c r="D102" s="279"/>
      <c r="E102" s="279"/>
      <c r="F102" s="279"/>
      <c r="G102" s="279"/>
      <c r="H102" s="279"/>
      <c r="I102" s="279"/>
      <c r="J102" s="279"/>
      <c r="K102" s="279"/>
      <c r="L102" s="279"/>
      <c r="M102" s="279"/>
      <c r="N102" s="279"/>
      <c r="O102" s="279"/>
      <c r="P102" s="279"/>
      <c r="Q102" s="279"/>
      <c r="R102" s="279"/>
      <c r="S102" s="279"/>
      <c r="T102" s="333">
        <v>-2</v>
      </c>
      <c r="U102" s="282"/>
      <c r="V102" s="5"/>
    </row>
    <row r="103" spans="1:23" x14ac:dyDescent="0.35">
      <c r="A103" s="278">
        <f>+A102+1</f>
        <v>3</v>
      </c>
      <c r="B103" s="394" t="s">
        <v>327</v>
      </c>
      <c r="C103" s="279"/>
      <c r="D103" s="279"/>
      <c r="E103" s="279"/>
      <c r="F103" s="279"/>
      <c r="G103" s="279"/>
      <c r="H103" s="279"/>
      <c r="I103" s="279"/>
      <c r="J103" s="279"/>
      <c r="K103" s="279"/>
      <c r="L103" s="279"/>
      <c r="M103" s="279"/>
      <c r="N103" s="279"/>
      <c r="O103" s="279"/>
      <c r="P103" s="279"/>
      <c r="Q103" s="279"/>
      <c r="R103" s="279"/>
      <c r="S103" s="279"/>
      <c r="T103" s="333">
        <f>-149-164-6</f>
        <v>-319</v>
      </c>
      <c r="U103" s="282"/>
      <c r="V103" s="5"/>
    </row>
    <row r="104" spans="1:23" x14ac:dyDescent="0.35">
      <c r="A104" s="278" t="s">
        <v>134</v>
      </c>
      <c r="B104" s="279" t="s">
        <v>123</v>
      </c>
      <c r="C104" s="279"/>
      <c r="D104" s="279"/>
      <c r="E104" s="279"/>
      <c r="F104" s="279"/>
      <c r="G104" s="279"/>
      <c r="H104" s="279"/>
      <c r="I104" s="279"/>
      <c r="J104" s="279"/>
      <c r="K104" s="279"/>
      <c r="L104" s="279"/>
      <c r="M104" s="279"/>
      <c r="N104" s="279"/>
      <c r="O104" s="279"/>
      <c r="P104" s="279"/>
      <c r="Q104" s="279"/>
      <c r="R104" s="279"/>
      <c r="S104" s="279"/>
      <c r="T104" s="333">
        <v>0</v>
      </c>
      <c r="U104" s="282"/>
      <c r="V104" s="5"/>
    </row>
    <row r="105" spans="1:23" x14ac:dyDescent="0.35">
      <c r="A105" s="278" t="s">
        <v>135</v>
      </c>
      <c r="B105" s="279" t="s">
        <v>169</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157</v>
      </c>
      <c r="B106" s="279" t="s">
        <v>353</v>
      </c>
      <c r="C106" s="279"/>
      <c r="D106" s="279"/>
      <c r="E106" s="279"/>
      <c r="F106" s="279"/>
      <c r="G106" s="279"/>
      <c r="H106" s="279"/>
      <c r="I106" s="279"/>
      <c r="J106" s="279"/>
      <c r="K106" s="279"/>
      <c r="L106" s="279"/>
      <c r="M106" s="279"/>
      <c r="N106" s="279"/>
      <c r="O106" s="279"/>
      <c r="P106" s="279"/>
      <c r="Q106" s="279"/>
      <c r="R106" s="279"/>
      <c r="S106" s="279"/>
      <c r="T106" s="333">
        <f>-53-184</f>
        <v>-237</v>
      </c>
      <c r="U106" s="282"/>
      <c r="V106" s="169"/>
      <c r="W106" s="109"/>
    </row>
    <row r="107" spans="1:23" x14ac:dyDescent="0.35">
      <c r="A107" s="278" t="s">
        <v>158</v>
      </c>
      <c r="B107" s="279" t="s">
        <v>354</v>
      </c>
      <c r="C107" s="279"/>
      <c r="D107" s="279"/>
      <c r="E107" s="279"/>
      <c r="F107" s="279"/>
      <c r="G107" s="279"/>
      <c r="H107" s="279"/>
      <c r="I107" s="279"/>
      <c r="J107" s="279"/>
      <c r="K107" s="279"/>
      <c r="L107" s="279"/>
      <c r="M107" s="279"/>
      <c r="N107" s="279"/>
      <c r="O107" s="279"/>
      <c r="P107" s="279"/>
      <c r="Q107" s="279"/>
      <c r="R107" s="279"/>
      <c r="S107" s="279"/>
      <c r="T107" s="333">
        <f>-279</f>
        <v>-279</v>
      </c>
      <c r="U107" s="282"/>
      <c r="V107" s="5"/>
      <c r="W107" s="109"/>
    </row>
    <row r="108" spans="1:23" x14ac:dyDescent="0.35">
      <c r="A108" s="278" t="s">
        <v>247</v>
      </c>
      <c r="B108" s="279" t="s">
        <v>214</v>
      </c>
      <c r="C108" s="279"/>
      <c r="D108" s="279"/>
      <c r="E108" s="279"/>
      <c r="F108" s="279"/>
      <c r="G108" s="279"/>
      <c r="H108" s="279"/>
      <c r="I108" s="279"/>
      <c r="J108" s="279"/>
      <c r="K108" s="279"/>
      <c r="L108" s="279"/>
      <c r="M108" s="279"/>
      <c r="N108" s="279"/>
      <c r="O108" s="279"/>
      <c r="P108" s="279"/>
      <c r="Q108" s="279"/>
      <c r="R108" s="279"/>
      <c r="S108" s="279"/>
      <c r="T108" s="333">
        <v>-25</v>
      </c>
      <c r="U108" s="282"/>
      <c r="V108" s="5"/>
      <c r="W108" s="109"/>
    </row>
    <row r="109" spans="1:23" x14ac:dyDescent="0.35">
      <c r="A109" s="278" t="s">
        <v>248</v>
      </c>
      <c r="B109" s="279" t="s">
        <v>215</v>
      </c>
      <c r="C109" s="279"/>
      <c r="D109" s="279"/>
      <c r="E109" s="279"/>
      <c r="F109" s="279"/>
      <c r="G109" s="279"/>
      <c r="H109" s="279"/>
      <c r="I109" s="279"/>
      <c r="J109" s="279"/>
      <c r="K109" s="279"/>
      <c r="L109" s="279"/>
      <c r="M109" s="279"/>
      <c r="N109" s="279"/>
      <c r="O109" s="279"/>
      <c r="P109" s="279"/>
      <c r="Q109" s="279"/>
      <c r="R109" s="279"/>
      <c r="S109" s="279"/>
      <c r="T109" s="333">
        <v>-56</v>
      </c>
      <c r="U109" s="282"/>
      <c r="V109" s="169"/>
      <c r="W109" s="109"/>
    </row>
    <row r="110" spans="1:23" x14ac:dyDescent="0.35">
      <c r="A110" s="278" t="s">
        <v>249</v>
      </c>
      <c r="B110" s="279" t="s">
        <v>230</v>
      </c>
      <c r="C110" s="279"/>
      <c r="D110" s="279"/>
      <c r="E110" s="279"/>
      <c r="F110" s="279"/>
      <c r="G110" s="279"/>
      <c r="H110" s="279"/>
      <c r="I110" s="279"/>
      <c r="J110" s="279"/>
      <c r="K110" s="279"/>
      <c r="L110" s="279"/>
      <c r="M110" s="279"/>
      <c r="N110" s="279"/>
      <c r="O110" s="279"/>
      <c r="P110" s="279"/>
      <c r="Q110" s="279"/>
      <c r="R110" s="279"/>
      <c r="S110" s="279"/>
      <c r="T110" s="333">
        <v>-58</v>
      </c>
      <c r="U110" s="282"/>
      <c r="V110" s="5"/>
      <c r="W110" s="109"/>
    </row>
    <row r="111" spans="1:23" x14ac:dyDescent="0.35">
      <c r="A111" s="278" t="s">
        <v>250</v>
      </c>
      <c r="B111" s="279" t="s">
        <v>216</v>
      </c>
      <c r="C111" s="279"/>
      <c r="D111" s="279"/>
      <c r="E111" s="279"/>
      <c r="F111" s="279"/>
      <c r="G111" s="279"/>
      <c r="H111" s="279"/>
      <c r="I111" s="279"/>
      <c r="J111" s="279"/>
      <c r="K111" s="279"/>
      <c r="L111" s="279"/>
      <c r="M111" s="279"/>
      <c r="N111" s="279"/>
      <c r="O111" s="279"/>
      <c r="P111" s="279"/>
      <c r="Q111" s="279"/>
      <c r="R111" s="279"/>
      <c r="S111" s="279"/>
      <c r="T111" s="333">
        <v>-148</v>
      </c>
      <c r="U111" s="282"/>
      <c r="V111" s="5"/>
      <c r="W111" s="109"/>
    </row>
    <row r="112" spans="1:23" x14ac:dyDescent="0.35">
      <c r="A112" s="278">
        <v>7</v>
      </c>
      <c r="B112" s="394" t="s">
        <v>326</v>
      </c>
      <c r="C112" s="279"/>
      <c r="D112" s="279"/>
      <c r="E112" s="279"/>
      <c r="F112" s="279"/>
      <c r="G112" s="279"/>
      <c r="H112" s="279"/>
      <c r="I112" s="279"/>
      <c r="J112" s="279"/>
      <c r="K112" s="279"/>
      <c r="L112" s="279"/>
      <c r="M112" s="279"/>
      <c r="N112" s="279"/>
      <c r="O112" s="279"/>
      <c r="P112" s="279"/>
      <c r="Q112" s="279"/>
      <c r="R112" s="279"/>
      <c r="S112" s="279"/>
      <c r="T112" s="333">
        <v>0</v>
      </c>
      <c r="U112" s="282"/>
      <c r="V112" s="5"/>
      <c r="W112" s="109"/>
    </row>
    <row r="113" spans="1:22" x14ac:dyDescent="0.35">
      <c r="A113" s="278">
        <v>8</v>
      </c>
      <c r="B113" s="279" t="s">
        <v>36</v>
      </c>
      <c r="C113" s="279"/>
      <c r="D113" s="279"/>
      <c r="E113" s="279"/>
      <c r="F113" s="279"/>
      <c r="G113" s="279"/>
      <c r="H113" s="279"/>
      <c r="I113" s="279"/>
      <c r="J113" s="279"/>
      <c r="K113" s="279"/>
      <c r="L113" s="279"/>
      <c r="M113" s="279"/>
      <c r="N113" s="279"/>
      <c r="O113" s="279"/>
      <c r="P113" s="279"/>
      <c r="Q113" s="279"/>
      <c r="R113" s="279"/>
      <c r="S113" s="279"/>
      <c r="T113" s="333">
        <v>-7</v>
      </c>
      <c r="U113" s="282"/>
      <c r="V113" s="5"/>
    </row>
    <row r="114" spans="1:22" x14ac:dyDescent="0.35">
      <c r="A114" s="278">
        <f t="shared" ref="A114:A119" si="0">+A113+1</f>
        <v>9</v>
      </c>
      <c r="B114" s="279" t="s">
        <v>47</v>
      </c>
      <c r="C114" s="279"/>
      <c r="D114" s="279"/>
      <c r="E114" s="279"/>
      <c r="F114" s="279"/>
      <c r="G114" s="279"/>
      <c r="H114" s="279"/>
      <c r="I114" s="279"/>
      <c r="J114" s="279"/>
      <c r="K114" s="279"/>
      <c r="L114" s="279"/>
      <c r="M114" s="279"/>
      <c r="N114" s="279"/>
      <c r="O114" s="279"/>
      <c r="P114" s="279"/>
      <c r="Q114" s="279"/>
      <c r="R114" s="332">
        <f>-T114</f>
        <v>59</v>
      </c>
      <c r="S114" s="279"/>
      <c r="T114" s="333">
        <v>-59</v>
      </c>
      <c r="U114" s="282"/>
      <c r="V114" s="5"/>
    </row>
    <row r="115" spans="1:22" x14ac:dyDescent="0.35">
      <c r="A115" s="278">
        <f t="shared" si="0"/>
        <v>10</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11</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12</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13</v>
      </c>
      <c r="B118" s="279" t="s">
        <v>156</v>
      </c>
      <c r="C118" s="279"/>
      <c r="D118" s="279"/>
      <c r="E118" s="279"/>
      <c r="F118" s="279"/>
      <c r="G118" s="279"/>
      <c r="H118" s="279"/>
      <c r="I118" s="279"/>
      <c r="J118" s="279"/>
      <c r="K118" s="279"/>
      <c r="L118" s="279"/>
      <c r="M118" s="279"/>
      <c r="N118" s="279"/>
      <c r="O118" s="279"/>
      <c r="P118" s="279"/>
      <c r="Q118" s="279"/>
      <c r="R118" s="279"/>
      <c r="S118" s="279"/>
      <c r="T118" s="333">
        <v>-148</v>
      </c>
      <c r="U118" s="282"/>
      <c r="V118" s="5"/>
    </row>
    <row r="119" spans="1:22" x14ac:dyDescent="0.35">
      <c r="A119" s="278">
        <f t="shared" si="0"/>
        <v>14</v>
      </c>
      <c r="B119" s="279" t="s">
        <v>133</v>
      </c>
      <c r="C119" s="279"/>
      <c r="D119" s="279"/>
      <c r="E119" s="279"/>
      <c r="F119" s="279"/>
      <c r="G119" s="279"/>
      <c r="H119" s="279"/>
      <c r="I119" s="279"/>
      <c r="J119" s="279"/>
      <c r="K119" s="279"/>
      <c r="L119" s="279"/>
      <c r="M119" s="279"/>
      <c r="N119" s="279"/>
      <c r="O119" s="279"/>
      <c r="P119" s="279"/>
      <c r="Q119" s="279"/>
      <c r="R119" s="279"/>
      <c r="S119" s="279"/>
      <c r="T119" s="333">
        <f>-T99-SUM(T101:T118)</f>
        <v>-984</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0</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-54</v>
      </c>
      <c r="S123" s="332"/>
      <c r="T123" s="333"/>
      <c r="U123" s="282"/>
      <c r="V123" s="5"/>
    </row>
    <row r="124" spans="1:22" x14ac:dyDescent="0.35">
      <c r="A124" s="278"/>
      <c r="B124" s="279" t="s">
        <v>377</v>
      </c>
      <c r="C124" s="279"/>
      <c r="D124" s="279"/>
      <c r="E124" s="279"/>
      <c r="F124" s="279"/>
      <c r="G124" s="279"/>
      <c r="H124" s="279"/>
      <c r="I124" s="279"/>
      <c r="J124" s="279"/>
      <c r="K124" s="279"/>
      <c r="L124" s="279"/>
      <c r="M124" s="279"/>
      <c r="N124" s="279"/>
      <c r="O124" s="279"/>
      <c r="P124" s="279"/>
      <c r="Q124" s="279"/>
      <c r="R124" s="332">
        <v>-3272</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-264</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-112</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-438</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-158</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-4298</v>
      </c>
      <c r="S131" s="332"/>
      <c r="T131" s="332">
        <f>SUM(T100:T129)</f>
        <v>-2322</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R99+R131+R114</f>
        <v>0</v>
      </c>
      <c r="S132" s="332"/>
      <c r="T132" s="332">
        <f>T99+T131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B63</f>
        <v>PM10 INVESTOR REPORT QUARTER ENDING NOVEMBER 2016</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335</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59</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59</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-59</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f>-T98</f>
        <v>93</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T70</f>
        <v>385025</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T83</f>
        <v>385025</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+'Aug 16'!Q183</f>
        <v>45572</v>
      </c>
      <c r="R180" s="333">
        <f>+'Aug 16'!R183</f>
        <v>5995</v>
      </c>
      <c r="S180" s="279"/>
      <c r="T180" s="333">
        <f>Q180+R180</f>
        <v>51567</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54</v>
      </c>
      <c r="R181" s="332">
        <v>0</v>
      </c>
      <c r="S181" s="279"/>
      <c r="T181" s="333">
        <f>Q181+R181</f>
        <v>54</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45626</v>
      </c>
      <c r="R182" s="333">
        <f>R181+R180</f>
        <v>5995</v>
      </c>
      <c r="S182" s="279"/>
      <c r="T182" s="333">
        <f>Q182+R182</f>
        <v>51621</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108435.48000000001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(T99+T101+T102+T103+T104+T105)/-(T106+T107)</f>
        <v>3.8779069767441858</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1.74</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(T99+T101+T102+T103+T104+T105+T106+T107)/-(T108+T109)</f>
        <v>18.333333333333332</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9.3800000000000008</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(T99+T101+T102+T103+T104+T105+T106+T107+T108+T109)/-(T110+T111)</f>
        <v>6.8155339805825239</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4.54</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NOVEMBER 2016</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42704</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2.0889999999999999E-2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8.2781373648116458E-3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1.2611862635188353E-2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+T99/L67</f>
        <v>5.9650267552771993E-3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11.13</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+N67/L67</f>
        <v>1.1041208007830062E-2</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8.7900000000000006E-2</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77</v>
      </c>
      <c r="R216" s="358">
        <f>+R268</f>
        <v>12581</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59</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'Aug 16'!R223+R221</f>
        <v>6575</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6</v>
      </c>
      <c r="R228" s="358">
        <v>889</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0.33</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2859</v>
      </c>
      <c r="Q235" s="378">
        <f t="shared" ref="Q235:Q242" si="2">P235/$P$244</f>
        <v>0.99305314345258766</v>
      </c>
      <c r="R235" s="237">
        <f t="shared" ref="R235:R242" si="3">+R247+R259+R271</f>
        <v>382773</v>
      </c>
      <c r="S235" s="378">
        <f t="shared" ref="S235:S242" si="4">R235/$R$244</f>
        <v>0.99415102915395104</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7</v>
      </c>
      <c r="Q236" s="378">
        <f t="shared" si="2"/>
        <v>2.4313997915943034E-3</v>
      </c>
      <c r="R236" s="333">
        <f t="shared" si="3"/>
        <v>889</v>
      </c>
      <c r="S236" s="378">
        <f t="shared" si="4"/>
        <v>2.3089409778585808E-3</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7</v>
      </c>
      <c r="Q237" s="378">
        <f t="shared" si="2"/>
        <v>2.4313997915943034E-3</v>
      </c>
      <c r="R237" s="333">
        <f t="shared" si="3"/>
        <v>831</v>
      </c>
      <c r="S237" s="378">
        <f t="shared" si="4"/>
        <v>2.1583014089994156E-3</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2</v>
      </c>
      <c r="Q238" s="378">
        <f t="shared" si="2"/>
        <v>6.9468565474122956E-4</v>
      </c>
      <c r="R238" s="333">
        <f t="shared" si="3"/>
        <v>227</v>
      </c>
      <c r="S238" s="378">
        <f t="shared" si="4"/>
        <v>5.8957210570742156E-4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2</v>
      </c>
      <c r="Q239" s="378">
        <f t="shared" si="2"/>
        <v>6.9468565474122956E-4</v>
      </c>
      <c r="R239" s="333">
        <f t="shared" si="3"/>
        <v>150</v>
      </c>
      <c r="S239" s="378">
        <f t="shared" si="4"/>
        <v>3.8958509187715082E-4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0</v>
      </c>
      <c r="Q240" s="378">
        <f t="shared" si="2"/>
        <v>0</v>
      </c>
      <c r="R240" s="333">
        <f t="shared" si="3"/>
        <v>0</v>
      </c>
      <c r="S240" s="378">
        <f t="shared" si="4"/>
        <v>0</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2</v>
      </c>
      <c r="Q241" s="378">
        <f t="shared" si="2"/>
        <v>6.9468565474122956E-4</v>
      </c>
      <c r="R241" s="333">
        <f t="shared" si="3"/>
        <v>155</v>
      </c>
      <c r="S241" s="378">
        <f t="shared" si="4"/>
        <v>4.0257126160638917E-4</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0</v>
      </c>
      <c r="Q242" s="378">
        <f t="shared" si="2"/>
        <v>0</v>
      </c>
      <c r="R242" s="333">
        <f t="shared" si="3"/>
        <v>0</v>
      </c>
      <c r="S242" s="383">
        <f t="shared" si="4"/>
        <v>0</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2879</v>
      </c>
      <c r="Q244" s="378">
        <f>SUM(Q235:Q243)</f>
        <v>0.99999999999999989</v>
      </c>
      <c r="R244" s="333">
        <f>SUM(R235:R243)</f>
        <v>385025</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2795</v>
      </c>
      <c r="Q247" s="244">
        <f t="shared" ref="Q247:Q254" si="5">P247/$P$256</f>
        <v>0.99750178443968596</v>
      </c>
      <c r="R247" s="237">
        <v>371562</v>
      </c>
      <c r="S247" s="244">
        <f t="shared" ref="S247:S254" si="6">R247/$R$256</f>
        <v>0.99763185874923477</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4</v>
      </c>
      <c r="Q248" s="378">
        <f t="shared" si="5"/>
        <v>1.4275517487508922E-3</v>
      </c>
      <c r="R248" s="333">
        <v>567</v>
      </c>
      <c r="S248" s="378">
        <f t="shared" si="6"/>
        <v>1.5223765183490672E-3</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2</v>
      </c>
      <c r="Q249" s="378">
        <f t="shared" si="5"/>
        <v>7.1377587437544611E-4</v>
      </c>
      <c r="R249" s="333">
        <v>218</v>
      </c>
      <c r="S249" s="378">
        <f t="shared" si="6"/>
        <v>5.8532289418006462E-4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1</v>
      </c>
      <c r="Q250" s="378">
        <f t="shared" si="5"/>
        <v>3.5688793718772306E-4</v>
      </c>
      <c r="R250" s="333">
        <v>97</v>
      </c>
      <c r="S250" s="378">
        <f t="shared" si="6"/>
        <v>2.6044183823608382E-4</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2802</v>
      </c>
      <c r="Q256" s="378">
        <f>SUM(Q247:Q255)</f>
        <v>1</v>
      </c>
      <c r="R256" s="333">
        <f>SUM(R247:R255)</f>
        <v>372444</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64</v>
      </c>
      <c r="Q259" s="244">
        <f t="shared" ref="Q259:Q266" si="7">P259/$P$268</f>
        <v>0.83116883116883122</v>
      </c>
      <c r="R259" s="237">
        <v>11211</v>
      </c>
      <c r="S259" s="244">
        <f t="shared" ref="S259:S266" si="8">R259/$R$268</f>
        <v>0.89110563548207611</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3</v>
      </c>
      <c r="Q260" s="378">
        <f t="shared" si="7"/>
        <v>3.896103896103896E-2</v>
      </c>
      <c r="R260" s="333">
        <v>322</v>
      </c>
      <c r="S260" s="378">
        <f t="shared" si="8"/>
        <v>2.5594149908592323E-2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5</v>
      </c>
      <c r="Q261" s="378">
        <f t="shared" si="7"/>
        <v>6.4935064935064929E-2</v>
      </c>
      <c r="R261" s="333">
        <v>613</v>
      </c>
      <c r="S261" s="378">
        <f t="shared" si="8"/>
        <v>4.8724266751450598E-2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1</v>
      </c>
      <c r="Q262" s="378">
        <f t="shared" si="7"/>
        <v>1.2987012987012988E-2</v>
      </c>
      <c r="R262" s="333">
        <v>130</v>
      </c>
      <c r="S262" s="378">
        <f t="shared" si="8"/>
        <v>1.0333041888562117E-2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2</v>
      </c>
      <c r="Q263" s="378">
        <f t="shared" si="7"/>
        <v>2.5974025974025976E-2</v>
      </c>
      <c r="R263" s="333">
        <v>150</v>
      </c>
      <c r="S263" s="378">
        <f t="shared" si="8"/>
        <v>1.1922740640648598E-2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0</v>
      </c>
      <c r="Q264" s="378">
        <f t="shared" si="7"/>
        <v>0</v>
      </c>
      <c r="R264" s="333">
        <v>0</v>
      </c>
      <c r="S264" s="378">
        <f t="shared" si="8"/>
        <v>0</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2</v>
      </c>
      <c r="Q265" s="378">
        <f t="shared" si="7"/>
        <v>2.5974025974025976E-2</v>
      </c>
      <c r="R265" s="333">
        <v>155</v>
      </c>
      <c r="S265" s="378">
        <f t="shared" si="8"/>
        <v>1.2320165328670217E-2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77</v>
      </c>
      <c r="Q268" s="378">
        <f>SUM(Q259:Q267)</f>
        <v>1</v>
      </c>
      <c r="R268" s="333">
        <f>SUM(R259:R267)</f>
        <v>12581</v>
      </c>
      <c r="S268" s="378">
        <f>SUM(S259:S267)</f>
        <v>0.99999999999999989</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2879</v>
      </c>
      <c r="Q282" s="378"/>
      <c r="R282" s="382">
        <f>+R280+R268+R256</f>
        <v>385025</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16" t="s">
        <v>329</v>
      </c>
      <c r="C286" s="216"/>
      <c r="D286" s="216"/>
      <c r="E286" s="216"/>
      <c r="F286" s="249" t="s">
        <v>155</v>
      </c>
      <c r="G286" s="216"/>
      <c r="H286" s="216" t="s">
        <v>160</v>
      </c>
      <c r="I286" s="248"/>
      <c r="J286" s="248"/>
      <c r="K286" s="248"/>
      <c r="L286" s="248"/>
      <c r="M286" s="248"/>
      <c r="N286" s="248"/>
      <c r="O286" s="248"/>
      <c r="P286" s="248"/>
      <c r="Q286" s="248"/>
      <c r="R286" s="248"/>
      <c r="S286" s="248"/>
      <c r="T286" s="248"/>
      <c r="U286" s="248"/>
      <c r="V286" s="5"/>
    </row>
    <row r="287" spans="1:22" x14ac:dyDescent="0.35">
      <c r="A287" s="213"/>
      <c r="B287" s="216" t="s">
        <v>330</v>
      </c>
      <c r="C287" s="216"/>
      <c r="D287" s="216"/>
      <c r="E287" s="216"/>
      <c r="F287" s="249" t="s">
        <v>278</v>
      </c>
      <c r="G287" s="216"/>
      <c r="H287" s="216" t="s">
        <v>279</v>
      </c>
      <c r="I287" s="248"/>
      <c r="J287" s="248"/>
      <c r="K287" s="248"/>
      <c r="L287" s="248"/>
      <c r="M287" s="248"/>
      <c r="N287" s="248"/>
      <c r="O287" s="248"/>
      <c r="P287" s="248"/>
      <c r="Q287" s="248"/>
      <c r="R287" s="248"/>
      <c r="S287" s="248"/>
      <c r="T287" s="248"/>
      <c r="U287" s="248"/>
      <c r="V287" s="5"/>
    </row>
    <row r="288" spans="1:22" x14ac:dyDescent="0.35">
      <c r="A288" s="213"/>
      <c r="B288" s="216" t="s">
        <v>331</v>
      </c>
      <c r="C288" s="216"/>
      <c r="D288" s="216"/>
      <c r="E288" s="216"/>
      <c r="F288" s="249" t="s">
        <v>154</v>
      </c>
      <c r="G288" s="216"/>
      <c r="H288" s="216" t="s">
        <v>161</v>
      </c>
      <c r="I288" s="248"/>
      <c r="J288" s="248"/>
      <c r="K288" s="248"/>
      <c r="L288" s="248"/>
      <c r="M288" s="248"/>
      <c r="N288" s="248"/>
      <c r="O288" s="248"/>
      <c r="P288" s="248"/>
      <c r="Q288" s="248"/>
      <c r="R288" s="248"/>
      <c r="S288" s="248"/>
      <c r="T288" s="248"/>
      <c r="U288" s="248"/>
      <c r="V288" s="5"/>
    </row>
    <row r="289" spans="1:22" x14ac:dyDescent="0.35">
      <c r="A289" s="213"/>
      <c r="B289" s="216"/>
      <c r="C289" s="216"/>
      <c r="D289" s="216"/>
      <c r="E289" s="216"/>
      <c r="F289" s="249"/>
      <c r="G289" s="216"/>
      <c r="H289" s="216"/>
      <c r="I289" s="248"/>
      <c r="J289" s="248"/>
      <c r="K289" s="248"/>
      <c r="L289" s="248"/>
      <c r="M289" s="248"/>
      <c r="N289" s="248"/>
      <c r="O289" s="248"/>
      <c r="P289" s="248"/>
      <c r="Q289" s="248"/>
      <c r="R289" s="248"/>
      <c r="S289" s="248"/>
      <c r="T289" s="248"/>
      <c r="U289" s="248"/>
      <c r="V289" s="5"/>
    </row>
    <row r="290" spans="1:22" x14ac:dyDescent="0.35">
      <c r="A290" s="213"/>
      <c r="B290" s="258" t="s">
        <v>358</v>
      </c>
      <c r="C290" s="216"/>
      <c r="D290" s="216"/>
      <c r="E290" s="216"/>
      <c r="F290" s="249"/>
      <c r="G290" s="216"/>
      <c r="H290" s="216"/>
      <c r="I290" s="248"/>
      <c r="J290" s="248"/>
      <c r="K290" s="248"/>
      <c r="L290" s="248"/>
      <c r="M290" s="248"/>
      <c r="N290" s="248"/>
      <c r="O290" s="248"/>
      <c r="P290" s="248"/>
      <c r="Q290" s="248"/>
      <c r="R290" s="248"/>
      <c r="S290" s="248"/>
      <c r="T290" s="248"/>
      <c r="U290" s="248"/>
      <c r="V290" s="5"/>
    </row>
    <row r="291" spans="1:22" x14ac:dyDescent="0.35">
      <c r="A291" s="213"/>
      <c r="B291" s="258" t="s">
        <v>355</v>
      </c>
      <c r="C291" s="216"/>
      <c r="D291" s="216"/>
      <c r="E291" s="216"/>
      <c r="F291" s="249"/>
      <c r="G291" s="216"/>
      <c r="H291" s="216"/>
      <c r="I291" s="248"/>
      <c r="J291" s="248"/>
      <c r="K291" s="248"/>
      <c r="L291" s="248"/>
      <c r="M291" s="248"/>
      <c r="N291" s="248"/>
      <c r="O291" s="248"/>
      <c r="P291" s="248"/>
      <c r="Q291" s="248"/>
      <c r="R291" s="248"/>
      <c r="S291" s="248"/>
      <c r="T291" s="248"/>
      <c r="U291" s="248"/>
      <c r="V291" s="5"/>
    </row>
    <row r="292" spans="1:22" x14ac:dyDescent="0.35">
      <c r="A292" s="213"/>
      <c r="B292" s="258" t="s">
        <v>357</v>
      </c>
      <c r="C292" s="216"/>
      <c r="D292" s="216"/>
      <c r="E292" s="216"/>
      <c r="F292" s="249"/>
      <c r="G292" s="216"/>
      <c r="H292" s="216"/>
      <c r="I292" s="248"/>
      <c r="J292" s="248"/>
      <c r="K292" s="248"/>
      <c r="L292" s="248"/>
      <c r="M292" s="248"/>
      <c r="N292" s="248"/>
      <c r="O292" s="248"/>
      <c r="P292" s="248"/>
      <c r="Q292" s="248"/>
      <c r="R292" s="248"/>
      <c r="S292" s="248"/>
      <c r="T292" s="248"/>
      <c r="U292" s="248"/>
      <c r="V292" s="5"/>
    </row>
    <row r="293" spans="1:22" x14ac:dyDescent="0.35">
      <c r="A293" s="213"/>
      <c r="B293" s="258" t="s">
        <v>356</v>
      </c>
      <c r="C293" s="216"/>
      <c r="D293" s="216"/>
      <c r="E293" s="216"/>
      <c r="F293" s="249"/>
      <c r="G293" s="216"/>
      <c r="H293" s="216"/>
      <c r="I293" s="248"/>
      <c r="J293" s="248"/>
      <c r="K293" s="248"/>
      <c r="L293" s="248"/>
      <c r="M293" s="248"/>
      <c r="N293" s="248"/>
      <c r="O293" s="248"/>
      <c r="P293" s="248"/>
      <c r="Q293" s="248"/>
      <c r="R293" s="248"/>
      <c r="S293" s="248"/>
      <c r="T293" s="248"/>
      <c r="U293" s="248"/>
      <c r="V293" s="5"/>
    </row>
    <row r="294" spans="1:22" x14ac:dyDescent="0.35">
      <c r="A294" s="213"/>
      <c r="B294" s="258"/>
      <c r="C294" s="216"/>
      <c r="D294" s="216"/>
      <c r="E294" s="216"/>
      <c r="F294" s="249"/>
      <c r="G294" s="216"/>
      <c r="H294" s="216"/>
      <c r="I294" s="248"/>
      <c r="J294" s="248"/>
      <c r="K294" s="248"/>
      <c r="L294" s="248"/>
      <c r="M294" s="248"/>
      <c r="N294" s="248"/>
      <c r="O294" s="248"/>
      <c r="P294" s="248"/>
      <c r="Q294" s="248"/>
      <c r="R294" s="248"/>
      <c r="S294" s="248"/>
      <c r="T294" s="248"/>
      <c r="U294" s="248"/>
      <c r="V294" s="5"/>
    </row>
    <row r="295" spans="1:22" ht="17.5" x14ac:dyDescent="0.35">
      <c r="A295" s="213"/>
      <c r="B295" s="401" t="s">
        <v>359</v>
      </c>
      <c r="C295" s="216"/>
      <c r="D295" s="216"/>
      <c r="E295" s="216"/>
      <c r="F295" s="216"/>
      <c r="G295" s="250"/>
      <c r="H295" s="248"/>
      <c r="I295" s="248"/>
      <c r="J295" s="248"/>
      <c r="K295" s="248"/>
      <c r="L295" s="188"/>
      <c r="M295" s="188"/>
      <c r="N295" s="402"/>
      <c r="O295" s="188"/>
      <c r="P295" s="402" t="s">
        <v>177</v>
      </c>
      <c r="Q295" s="248"/>
      <c r="R295" s="248"/>
      <c r="S295" s="248"/>
      <c r="T295" s="248"/>
      <c r="U295" s="248"/>
      <c r="V295" s="5"/>
    </row>
    <row r="296" spans="1:22" x14ac:dyDescent="0.35">
      <c r="A296" s="213"/>
      <c r="B296" s="216"/>
      <c r="C296" s="216"/>
      <c r="D296" s="216"/>
      <c r="E296" s="216"/>
      <c r="F296" s="216"/>
      <c r="G296" s="250"/>
      <c r="H296" s="248"/>
      <c r="I296" s="248"/>
      <c r="J296" s="248"/>
      <c r="K296" s="248"/>
      <c r="L296" s="248"/>
      <c r="M296" s="248"/>
      <c r="N296" s="248"/>
      <c r="O296" s="248"/>
      <c r="P296" s="248"/>
      <c r="Q296" s="248"/>
      <c r="R296" s="248"/>
      <c r="S296" s="248"/>
      <c r="T296" s="248"/>
      <c r="U296" s="248"/>
      <c r="V296" s="5"/>
    </row>
    <row r="297" spans="1:22" ht="18" thickBot="1" x14ac:dyDescent="0.4">
      <c r="A297" s="213"/>
      <c r="B297" s="251" t="str">
        <f>B196</f>
        <v>PM10 INVESTOR REPORT QUARTER ENDING NOVEMBER 2016</v>
      </c>
      <c r="C297" s="216"/>
      <c r="D297" s="216"/>
      <c r="E297" s="216"/>
      <c r="F297" s="216"/>
      <c r="G297" s="250"/>
      <c r="H297" s="248"/>
      <c r="I297" s="248"/>
      <c r="J297" s="248"/>
      <c r="K297" s="248"/>
      <c r="L297" s="248"/>
      <c r="M297" s="248"/>
      <c r="N297" s="248"/>
      <c r="O297" s="248"/>
      <c r="P297" s="248"/>
      <c r="Q297" s="248"/>
      <c r="R297" s="248"/>
      <c r="S297" s="248"/>
      <c r="T297" s="248"/>
      <c r="U297" s="248"/>
      <c r="V297" s="5"/>
    </row>
    <row r="298" spans="1:22" x14ac:dyDescent="0.35">
      <c r="A298" s="100"/>
      <c r="B298" s="100"/>
      <c r="C298" s="100"/>
      <c r="D298" s="100"/>
      <c r="E298" s="100"/>
      <c r="F298" s="100"/>
      <c r="G298" s="100"/>
      <c r="H298" s="100"/>
      <c r="I298" s="100"/>
      <c r="J298" s="100"/>
      <c r="K298" s="100"/>
      <c r="L298" s="100"/>
      <c r="M298" s="100"/>
      <c r="N298" s="100"/>
      <c r="O298" s="100"/>
      <c r="P298" s="100"/>
      <c r="Q298" s="100"/>
      <c r="R298" s="100"/>
      <c r="S298" s="100"/>
      <c r="T298" s="100"/>
      <c r="U298" s="100"/>
    </row>
  </sheetData>
  <hyperlinks>
    <hyperlink ref="J9" r:id="rId1" xr:uid="{00000000-0004-0000-2B00-000000000000}"/>
    <hyperlink ref="N232" r:id="rId2" xr:uid="{00000000-0004-0000-2B00-000001000000}"/>
    <hyperlink ref="P295" r:id="rId3" xr:uid="{00000000-0004-0000-2B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2D2926"/>
  </sheetPr>
  <dimension ref="A1:Z297"/>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400"/>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0.68400000000000005</v>
      </c>
      <c r="R16" s="222" t="s">
        <v>147</v>
      </c>
      <c r="S16" s="221">
        <v>0.316</v>
      </c>
      <c r="T16" s="184"/>
      <c r="U16" s="183"/>
      <c r="V16" s="5"/>
    </row>
    <row r="17" spans="1:22" x14ac:dyDescent="0.35">
      <c r="A17" s="174"/>
      <c r="B17" s="216" t="s">
        <v>4</v>
      </c>
      <c r="C17" s="183"/>
      <c r="D17" s="399"/>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399"/>
      <c r="E18" s="183"/>
      <c r="F18" s="183"/>
      <c r="G18" s="183"/>
      <c r="H18" s="183"/>
      <c r="I18" s="183"/>
      <c r="J18" s="183"/>
      <c r="K18" s="183"/>
      <c r="L18" s="183"/>
      <c r="M18" s="183"/>
      <c r="N18" s="183"/>
      <c r="O18" s="183"/>
      <c r="P18" s="183"/>
      <c r="Q18" s="183"/>
      <c r="R18" s="183"/>
      <c r="S18" s="183"/>
      <c r="T18" s="218">
        <v>42814</v>
      </c>
      <c r="U18" s="183"/>
      <c r="V18" s="5"/>
    </row>
    <row r="19" spans="1:22" x14ac:dyDescent="0.35">
      <c r="A19" s="174"/>
      <c r="B19" s="176"/>
      <c r="C19" s="176"/>
      <c r="D19" s="398"/>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148</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175</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150</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0">
        <f>D34*D38</f>
        <v>41854.223610400004</v>
      </c>
      <c r="E32" s="289"/>
      <c r="F32" s="290">
        <f>F31*F38</f>
        <v>105000</v>
      </c>
      <c r="G32" s="290"/>
      <c r="H32" s="295">
        <f>H31*H38</f>
        <v>222000</v>
      </c>
      <c r="I32" s="290"/>
      <c r="J32" s="290">
        <f>J31*J38</f>
        <v>23922.3776</v>
      </c>
      <c r="K32" s="290"/>
      <c r="L32" s="295">
        <f>L31*L38</f>
        <v>15047.947199999999</v>
      </c>
      <c r="M32" s="290"/>
      <c r="N32" s="296">
        <f>N31*N38</f>
        <v>39742.0144</v>
      </c>
      <c r="O32" s="290"/>
      <c r="P32" s="295">
        <f>P31*P38</f>
        <v>21221.464</v>
      </c>
      <c r="Q32" s="290"/>
      <c r="R32" s="290"/>
      <c r="S32" s="291"/>
      <c r="T32" s="290"/>
      <c r="U32" s="292"/>
      <c r="V32" s="5"/>
    </row>
    <row r="33" spans="1:26" x14ac:dyDescent="0.35">
      <c r="A33" s="278"/>
      <c r="B33" s="286" t="s">
        <v>141</v>
      </c>
      <c r="C33" s="289"/>
      <c r="D33" s="396">
        <f>D34*D37</f>
        <v>37508.244116000002</v>
      </c>
      <c r="E33" s="293"/>
      <c r="F33" s="297">
        <f>F37*F31</f>
        <v>105000</v>
      </c>
      <c r="G33" s="297"/>
      <c r="H33" s="300">
        <f>H31*H37</f>
        <v>222000</v>
      </c>
      <c r="I33" s="297"/>
      <c r="J33" s="297">
        <f>J31*J37</f>
        <v>23572.151999999998</v>
      </c>
      <c r="K33" s="297"/>
      <c r="L33" s="300">
        <f>L31*L37</f>
        <v>14827.643999999998</v>
      </c>
      <c r="M33" s="297"/>
      <c r="N33" s="297">
        <f>N31*N37</f>
        <v>39160.187999999995</v>
      </c>
      <c r="O33" s="297"/>
      <c r="P33" s="300">
        <f>P31*P37</f>
        <v>20910.78</v>
      </c>
      <c r="Q33" s="290"/>
      <c r="R33" s="290"/>
      <c r="S33" s="291"/>
      <c r="T33" s="290"/>
      <c r="U33" s="292"/>
      <c r="V33" s="5"/>
    </row>
    <row r="34" spans="1:26"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c r="X34" s="397"/>
      <c r="Z34" s="397"/>
    </row>
    <row r="35" spans="1:26" x14ac:dyDescent="0.35">
      <c r="A35" s="283"/>
      <c r="B35" s="279" t="s">
        <v>297</v>
      </c>
      <c r="C35" s="293"/>
      <c r="D35" s="290">
        <f>D34*D38</f>
        <v>41854.223610400004</v>
      </c>
      <c r="E35" s="289"/>
      <c r="F35" s="290">
        <f>F34*F38</f>
        <v>105000</v>
      </c>
      <c r="G35" s="290"/>
      <c r="H35" s="290">
        <f>H34*H38</f>
        <v>150000</v>
      </c>
      <c r="I35" s="290"/>
      <c r="J35" s="290">
        <f>J32</f>
        <v>23922.3776</v>
      </c>
      <c r="K35" s="290"/>
      <c r="L35" s="290">
        <f>L34*L38</f>
        <v>10167.782169599999</v>
      </c>
      <c r="M35" s="290"/>
      <c r="N35" s="290">
        <f>N32</f>
        <v>39742.0144</v>
      </c>
      <c r="O35" s="290"/>
      <c r="P35" s="290">
        <f>P34*P38</f>
        <v>14338.7644576</v>
      </c>
      <c r="Q35" s="290"/>
      <c r="R35" s="290"/>
      <c r="S35" s="291"/>
      <c r="T35" s="290">
        <f>SUM(C35:P35)</f>
        <v>385025.16223760002</v>
      </c>
      <c r="U35" s="292"/>
      <c r="V35" s="5"/>
      <c r="X35" s="397"/>
      <c r="Z35" s="397"/>
    </row>
    <row r="36" spans="1:26" x14ac:dyDescent="0.35">
      <c r="A36" s="283"/>
      <c r="B36" s="286" t="s">
        <v>298</v>
      </c>
      <c r="C36" s="293"/>
      <c r="D36" s="297">
        <f>D37*D34</f>
        <v>37508.244116000002</v>
      </c>
      <c r="E36" s="293"/>
      <c r="F36" s="297">
        <f>F37*F34</f>
        <v>105000</v>
      </c>
      <c r="G36" s="297"/>
      <c r="H36" s="297">
        <f>H37*H34</f>
        <v>150000</v>
      </c>
      <c r="I36" s="297"/>
      <c r="J36" s="297">
        <f>J37*J34</f>
        <v>23572.151999999998</v>
      </c>
      <c r="K36" s="297"/>
      <c r="L36" s="297">
        <f>L37*L34</f>
        <v>10018.924992</v>
      </c>
      <c r="M36" s="297"/>
      <c r="N36" s="297">
        <f>N37*N34</f>
        <v>39160.187999999995</v>
      </c>
      <c r="O36" s="297"/>
      <c r="P36" s="297">
        <f>P34*P37</f>
        <v>14128.843751999999</v>
      </c>
      <c r="Q36" s="322"/>
      <c r="R36" s="322"/>
      <c r="S36" s="291"/>
      <c r="T36" s="297">
        <f>SUM(C36:P36)</f>
        <v>379388.35285999998</v>
      </c>
      <c r="U36" s="292"/>
      <c r="V36" s="5"/>
      <c r="X36" s="397"/>
      <c r="Z36" s="397"/>
    </row>
    <row r="37" spans="1:26" x14ac:dyDescent="0.35">
      <c r="A37" s="305"/>
      <c r="B37" s="306" t="s">
        <v>137</v>
      </c>
      <c r="C37" s="307"/>
      <c r="D37" s="308">
        <v>5.94335E-2</v>
      </c>
      <c r="E37" s="309"/>
      <c r="F37" s="308">
        <v>1</v>
      </c>
      <c r="G37" s="308"/>
      <c r="H37" s="308">
        <v>1</v>
      </c>
      <c r="I37" s="308"/>
      <c r="J37" s="308">
        <v>0.76039199999999996</v>
      </c>
      <c r="K37" s="308"/>
      <c r="L37" s="308">
        <v>0.76039199999999996</v>
      </c>
      <c r="M37" s="308"/>
      <c r="N37" s="308">
        <v>0.76039199999999996</v>
      </c>
      <c r="O37" s="308"/>
      <c r="P37" s="308">
        <v>0.76039199999999996</v>
      </c>
      <c r="Q37" s="310"/>
      <c r="R37" s="310"/>
      <c r="S37" s="311"/>
      <c r="T37" s="311"/>
      <c r="U37" s="312"/>
      <c r="V37" s="5"/>
    </row>
    <row r="38" spans="1:26" x14ac:dyDescent="0.35">
      <c r="A38" s="305"/>
      <c r="B38" s="306" t="s">
        <v>138</v>
      </c>
      <c r="C38" s="307"/>
      <c r="D38" s="308">
        <v>6.6319900000000001E-2</v>
      </c>
      <c r="E38" s="309"/>
      <c r="F38" s="308">
        <v>1</v>
      </c>
      <c r="G38" s="308"/>
      <c r="H38" s="308">
        <v>1</v>
      </c>
      <c r="I38" s="308"/>
      <c r="J38" s="308">
        <v>0.77168959999999998</v>
      </c>
      <c r="K38" s="308"/>
      <c r="L38" s="308">
        <v>0.77168959999999998</v>
      </c>
      <c r="M38" s="308"/>
      <c r="N38" s="308">
        <v>0.77168959999999998</v>
      </c>
      <c r="O38" s="308"/>
      <c r="P38" s="308">
        <v>0.77168959999999998</v>
      </c>
      <c r="Q38" s="313"/>
      <c r="R38" s="314"/>
      <c r="S38" s="311"/>
      <c r="T38" s="313"/>
      <c r="U38" s="312"/>
      <c r="V38" s="5"/>
    </row>
    <row r="39" spans="1:26"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6" x14ac:dyDescent="0.35">
      <c r="A40" s="278"/>
      <c r="B40" s="279" t="s">
        <v>12</v>
      </c>
      <c r="C40" s="279"/>
      <c r="D40" s="316">
        <v>4.6312999999999997E-3</v>
      </c>
      <c r="E40" s="279"/>
      <c r="F40" s="316">
        <v>6.9312999999999996E-3</v>
      </c>
      <c r="G40" s="315"/>
      <c r="H40" s="316">
        <v>4.0000000000000003E-5</v>
      </c>
      <c r="I40" s="315"/>
      <c r="J40" s="316">
        <v>9.1313000000000002E-3</v>
      </c>
      <c r="K40" s="315"/>
      <c r="L40" s="316">
        <v>2.2399999999999998E-3</v>
      </c>
      <c r="M40" s="315"/>
      <c r="N40" s="316">
        <v>1.4731299999999999E-2</v>
      </c>
      <c r="O40" s="315"/>
      <c r="P40" s="316">
        <v>7.8399999999999997E-3</v>
      </c>
      <c r="Q40" s="315"/>
      <c r="R40" s="316"/>
      <c r="S40" s="281"/>
      <c r="T40" s="287"/>
      <c r="U40" s="282"/>
      <c r="V40" s="5"/>
    </row>
    <row r="41" spans="1:26" x14ac:dyDescent="0.35">
      <c r="A41" s="278"/>
      <c r="B41" s="279" t="s">
        <v>13</v>
      </c>
      <c r="C41" s="279"/>
      <c r="D41" s="316">
        <v>4.6937999999999997E-3</v>
      </c>
      <c r="E41" s="279"/>
      <c r="F41" s="316">
        <v>7.0188000000000004E-3</v>
      </c>
      <c r="G41" s="315"/>
      <c r="H41" s="316">
        <v>1.8000000000000001E-4</v>
      </c>
      <c r="I41" s="315"/>
      <c r="J41" s="316">
        <v>9.2187999999999992E-3</v>
      </c>
      <c r="K41" s="315"/>
      <c r="L41" s="316">
        <v>2.3800000000000002E-3</v>
      </c>
      <c r="M41" s="315"/>
      <c r="N41" s="316">
        <v>1.48188E-2</v>
      </c>
      <c r="O41" s="315"/>
      <c r="P41" s="316">
        <v>7.9799999999999992E-3</v>
      </c>
      <c r="Q41" s="315"/>
      <c r="R41" s="316"/>
      <c r="S41" s="281"/>
      <c r="T41" s="315" t="s">
        <v>226</v>
      </c>
      <c r="U41" s="282"/>
      <c r="V41" s="5"/>
    </row>
    <row r="42" spans="1:26" x14ac:dyDescent="0.35">
      <c r="A42" s="278"/>
      <c r="B42" s="279" t="s">
        <v>299</v>
      </c>
      <c r="C42" s="279"/>
      <c r="D42" s="287" t="s">
        <v>283</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6" x14ac:dyDescent="0.35">
      <c r="A43" s="278"/>
      <c r="B43" s="279" t="s">
        <v>300</v>
      </c>
      <c r="C43" s="317"/>
      <c r="D43" s="316">
        <f>+D40</f>
        <v>4.6312999999999997E-3</v>
      </c>
      <c r="E43" s="279"/>
      <c r="F43" s="316">
        <f>+F40</f>
        <v>6.9312999999999996E-3</v>
      </c>
      <c r="G43" s="315"/>
      <c r="H43" s="316">
        <v>7.3813000000000004E-3</v>
      </c>
      <c r="I43" s="315"/>
      <c r="J43" s="316">
        <f>+J40</f>
        <v>9.1313000000000002E-3</v>
      </c>
      <c r="K43" s="315"/>
      <c r="L43" s="316">
        <v>9.8612999999999999E-3</v>
      </c>
      <c r="M43" s="315"/>
      <c r="N43" s="316">
        <f>+N40</f>
        <v>1.4731299999999999E-2</v>
      </c>
      <c r="O43" s="315"/>
      <c r="P43" s="316">
        <v>1.5961300000000001E-2</v>
      </c>
      <c r="Q43" s="287"/>
      <c r="R43" s="287"/>
      <c r="S43" s="281"/>
      <c r="T43" s="315">
        <f>SUMPRODUCT(D43:P43,D35:P35)/T35</f>
        <v>8.2120549269749515E-3</v>
      </c>
      <c r="U43" s="282"/>
      <c r="V43" s="5"/>
    </row>
    <row r="44" spans="1:26" x14ac:dyDescent="0.35">
      <c r="A44" s="278"/>
      <c r="B44" s="279" t="s">
        <v>301</v>
      </c>
      <c r="C44" s="317"/>
      <c r="D44" s="316">
        <f>+D41</f>
        <v>4.6937999999999997E-3</v>
      </c>
      <c r="E44" s="279"/>
      <c r="F44" s="316">
        <f>+F41</f>
        <v>7.0188000000000004E-3</v>
      </c>
      <c r="G44" s="315"/>
      <c r="H44" s="316">
        <v>7.4688000000000003E-3</v>
      </c>
      <c r="I44" s="315"/>
      <c r="J44" s="316">
        <f>+J41</f>
        <v>9.2187999999999992E-3</v>
      </c>
      <c r="K44" s="315"/>
      <c r="L44" s="316">
        <v>9.9488000000000007E-3</v>
      </c>
      <c r="M44" s="315"/>
      <c r="N44" s="316">
        <f>+N41</f>
        <v>1.48188E-2</v>
      </c>
      <c r="O44" s="315"/>
      <c r="P44" s="316">
        <v>1.6048799999999998E-2</v>
      </c>
      <c r="Q44" s="287"/>
      <c r="R44" s="287"/>
      <c r="S44" s="281"/>
      <c r="T44" s="281"/>
      <c r="U44" s="282"/>
      <c r="V44" s="5"/>
    </row>
    <row r="45" spans="1:26"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6"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6"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6" x14ac:dyDescent="0.35">
      <c r="A48" s="278"/>
      <c r="B48" s="279" t="s">
        <v>302</v>
      </c>
      <c r="C48" s="279"/>
      <c r="D48" s="287" t="s">
        <v>125</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0.29701764135422437</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349</v>
      </c>
      <c r="C54" s="279"/>
      <c r="D54" s="279"/>
      <c r="E54" s="279"/>
      <c r="F54" s="279"/>
      <c r="G54" s="279"/>
      <c r="H54" s="279"/>
      <c r="I54" s="279"/>
      <c r="J54" s="279"/>
      <c r="K54" s="279"/>
      <c r="L54" s="279"/>
      <c r="M54" s="279"/>
      <c r="N54" s="279"/>
      <c r="O54" s="279"/>
      <c r="P54" s="279"/>
      <c r="Q54" s="279"/>
      <c r="R54" s="287"/>
      <c r="S54" s="287"/>
      <c r="T54" s="323" t="s">
        <v>118</v>
      </c>
      <c r="U54" s="282"/>
      <c r="V54" s="5"/>
    </row>
    <row r="55" spans="1:23" x14ac:dyDescent="0.35">
      <c r="A55" s="278"/>
      <c r="B55" s="286" t="s">
        <v>242</v>
      </c>
      <c r="C55" s="286"/>
      <c r="D55" s="286"/>
      <c r="E55" s="286"/>
      <c r="F55" s="286"/>
      <c r="G55" s="286"/>
      <c r="H55" s="286"/>
      <c r="I55" s="286"/>
      <c r="J55" s="286"/>
      <c r="K55" s="286"/>
      <c r="L55" s="286"/>
      <c r="M55" s="286"/>
      <c r="N55" s="286"/>
      <c r="O55" s="286"/>
      <c r="P55" s="286"/>
      <c r="Q55" s="286"/>
      <c r="R55" s="324"/>
      <c r="S55" s="324"/>
      <c r="T55" s="325">
        <v>42809</v>
      </c>
      <c r="U55" s="282"/>
      <c r="V55" s="5"/>
    </row>
    <row r="56" spans="1:23" x14ac:dyDescent="0.35">
      <c r="A56" s="278"/>
      <c r="B56" s="279" t="s">
        <v>128</v>
      </c>
      <c r="C56" s="279"/>
      <c r="D56" s="279"/>
      <c r="E56" s="279"/>
      <c r="F56" s="279"/>
      <c r="G56" s="279"/>
      <c r="H56" s="326"/>
      <c r="I56" s="326"/>
      <c r="J56" s="326"/>
      <c r="K56" s="326"/>
      <c r="L56" s="326"/>
      <c r="M56" s="326"/>
      <c r="N56" s="326"/>
      <c r="O56" s="326"/>
      <c r="P56" s="279">
        <f>+T56-R56+1</f>
        <v>91</v>
      </c>
      <c r="Q56" s="279"/>
      <c r="R56" s="327">
        <v>42628</v>
      </c>
      <c r="S56" s="328"/>
      <c r="T56" s="327">
        <v>42718</v>
      </c>
      <c r="U56" s="282"/>
      <c r="V56" s="5"/>
    </row>
    <row r="57" spans="1:23" x14ac:dyDescent="0.35">
      <c r="A57" s="278"/>
      <c r="B57" s="279" t="s">
        <v>129</v>
      </c>
      <c r="C57" s="279"/>
      <c r="D57" s="279"/>
      <c r="E57" s="279"/>
      <c r="F57" s="279"/>
      <c r="G57" s="279"/>
      <c r="H57" s="279"/>
      <c r="I57" s="279"/>
      <c r="J57" s="279"/>
      <c r="K57" s="279"/>
      <c r="L57" s="279"/>
      <c r="M57" s="279"/>
      <c r="N57" s="279"/>
      <c r="O57" s="279"/>
      <c r="P57" s="279">
        <f>+T57-R57+1</f>
        <v>90</v>
      </c>
      <c r="Q57" s="279"/>
      <c r="R57" s="327">
        <v>42719</v>
      </c>
      <c r="S57" s="328"/>
      <c r="T57" s="327">
        <v>42808</v>
      </c>
      <c r="U57" s="282"/>
      <c r="V57" s="5"/>
    </row>
    <row r="58" spans="1:23" x14ac:dyDescent="0.35">
      <c r="A58" s="278"/>
      <c r="B58" s="279" t="s">
        <v>351</v>
      </c>
      <c r="C58" s="279"/>
      <c r="D58" s="279"/>
      <c r="E58" s="279"/>
      <c r="F58" s="279"/>
      <c r="G58" s="279"/>
      <c r="H58" s="279"/>
      <c r="I58" s="279"/>
      <c r="J58" s="279"/>
      <c r="K58" s="279"/>
      <c r="L58" s="279"/>
      <c r="M58" s="279"/>
      <c r="N58" s="279"/>
      <c r="O58" s="279"/>
      <c r="P58" s="279"/>
      <c r="Q58" s="279"/>
      <c r="R58" s="327"/>
      <c r="S58" s="328"/>
      <c r="T58" s="327" t="s">
        <v>127</v>
      </c>
      <c r="U58" s="282"/>
      <c r="V58" s="5"/>
    </row>
    <row r="59" spans="1:23" x14ac:dyDescent="0.35">
      <c r="A59" s="278"/>
      <c r="B59" s="279" t="s">
        <v>350</v>
      </c>
      <c r="C59" s="279"/>
      <c r="D59" s="279"/>
      <c r="E59" s="279"/>
      <c r="F59" s="279"/>
      <c r="G59" s="279"/>
      <c r="H59" s="279"/>
      <c r="I59" s="279"/>
      <c r="J59" s="279"/>
      <c r="K59" s="279"/>
      <c r="L59" s="279"/>
      <c r="M59" s="279"/>
      <c r="N59" s="279"/>
      <c r="O59" s="279"/>
      <c r="P59" s="279"/>
      <c r="Q59" s="279"/>
      <c r="R59" s="327"/>
      <c r="S59" s="328"/>
      <c r="T59" s="327" t="s">
        <v>162</v>
      </c>
      <c r="U59" s="282"/>
      <c r="V59" s="5"/>
      <c r="W59" s="135"/>
    </row>
    <row r="60" spans="1:23" x14ac:dyDescent="0.35">
      <c r="A60" s="278"/>
      <c r="B60" s="279" t="s">
        <v>16</v>
      </c>
      <c r="C60" s="279"/>
      <c r="D60" s="279"/>
      <c r="E60" s="279"/>
      <c r="F60" s="279"/>
      <c r="G60" s="279"/>
      <c r="H60" s="279"/>
      <c r="I60" s="279"/>
      <c r="J60" s="279"/>
      <c r="K60" s="279"/>
      <c r="L60" s="279"/>
      <c r="M60" s="279"/>
      <c r="N60" s="279"/>
      <c r="O60" s="279"/>
      <c r="P60" s="279"/>
      <c r="Q60" s="279"/>
      <c r="R60" s="327"/>
      <c r="S60" s="328"/>
      <c r="T60" s="327">
        <v>42795</v>
      </c>
      <c r="U60" s="282"/>
      <c r="V60" s="5"/>
    </row>
    <row r="61" spans="1:23" x14ac:dyDescent="0.35">
      <c r="A61" s="228"/>
      <c r="B61" s="258"/>
      <c r="C61" s="258"/>
      <c r="D61" s="258"/>
      <c r="E61" s="258"/>
      <c r="F61" s="258"/>
      <c r="G61" s="258"/>
      <c r="H61" s="258"/>
      <c r="I61" s="258"/>
      <c r="J61" s="258"/>
      <c r="K61" s="258"/>
      <c r="L61" s="258"/>
      <c r="M61" s="258"/>
      <c r="N61" s="258"/>
      <c r="O61" s="258"/>
      <c r="P61" s="258"/>
      <c r="Q61" s="258"/>
      <c r="R61" s="276"/>
      <c r="S61" s="277"/>
      <c r="T61" s="276"/>
      <c r="U61" s="258"/>
      <c r="V61" s="5"/>
    </row>
    <row r="62" spans="1:23" x14ac:dyDescent="0.35">
      <c r="A62" s="228"/>
      <c r="B62" s="229"/>
      <c r="C62" s="229"/>
      <c r="D62" s="229"/>
      <c r="E62" s="229"/>
      <c r="F62" s="229"/>
      <c r="G62" s="229"/>
      <c r="H62" s="229"/>
      <c r="I62" s="229"/>
      <c r="J62" s="229"/>
      <c r="K62" s="229"/>
      <c r="L62" s="229"/>
      <c r="M62" s="229"/>
      <c r="N62" s="229"/>
      <c r="O62" s="229"/>
      <c r="P62" s="229"/>
      <c r="Q62" s="229"/>
      <c r="R62" s="230"/>
      <c r="S62" s="231"/>
      <c r="T62" s="230"/>
      <c r="U62" s="229"/>
      <c r="V62" s="5"/>
    </row>
    <row r="63" spans="1:23" ht="18" thickBot="1" x14ac:dyDescent="0.4">
      <c r="A63" s="232"/>
      <c r="B63" s="233" t="s">
        <v>348</v>
      </c>
      <c r="C63" s="234"/>
      <c r="D63" s="234"/>
      <c r="E63" s="234"/>
      <c r="F63" s="234"/>
      <c r="G63" s="234"/>
      <c r="H63" s="234"/>
      <c r="I63" s="234"/>
      <c r="J63" s="234"/>
      <c r="K63" s="234"/>
      <c r="L63" s="234"/>
      <c r="M63" s="234"/>
      <c r="N63" s="234"/>
      <c r="O63" s="234"/>
      <c r="P63" s="234"/>
      <c r="Q63" s="234"/>
      <c r="R63" s="234"/>
      <c r="S63" s="234"/>
      <c r="T63" s="235"/>
      <c r="U63" s="236"/>
      <c r="V63" s="5"/>
    </row>
    <row r="64" spans="1:23" x14ac:dyDescent="0.35">
      <c r="A64" s="252"/>
      <c r="B64" s="385" t="s">
        <v>17</v>
      </c>
      <c r="C64" s="253"/>
      <c r="D64" s="253"/>
      <c r="E64" s="253"/>
      <c r="F64" s="253"/>
      <c r="G64" s="253"/>
      <c r="H64" s="253"/>
      <c r="I64" s="253"/>
      <c r="J64" s="253"/>
      <c r="K64" s="253"/>
      <c r="L64" s="253"/>
      <c r="M64" s="253"/>
      <c r="N64" s="253"/>
      <c r="O64" s="253"/>
      <c r="P64" s="253"/>
      <c r="Q64" s="253"/>
      <c r="R64" s="253"/>
      <c r="S64" s="253"/>
      <c r="T64" s="259"/>
      <c r="U64" s="253"/>
      <c r="V64" s="5"/>
    </row>
    <row r="65" spans="1:22" x14ac:dyDescent="0.35">
      <c r="A65" s="174"/>
      <c r="B65" s="182"/>
      <c r="C65" s="176"/>
      <c r="D65" s="176"/>
      <c r="E65" s="176"/>
      <c r="F65" s="176"/>
      <c r="G65" s="176"/>
      <c r="H65" s="176"/>
      <c r="I65" s="176"/>
      <c r="J65" s="176"/>
      <c r="K65" s="176"/>
      <c r="L65" s="176"/>
      <c r="M65" s="176"/>
      <c r="N65" s="176"/>
      <c r="O65" s="176"/>
      <c r="P65" s="176"/>
      <c r="Q65" s="176"/>
      <c r="R65" s="176"/>
      <c r="S65" s="176"/>
      <c r="T65" s="193"/>
      <c r="U65" s="176"/>
      <c r="V65" s="5"/>
    </row>
    <row r="66" spans="1:22" ht="45" x14ac:dyDescent="0.35">
      <c r="A66" s="174"/>
      <c r="B66" s="194" t="s">
        <v>18</v>
      </c>
      <c r="C66" s="195"/>
      <c r="D66" s="195"/>
      <c r="E66" s="195"/>
      <c r="F66" s="195"/>
      <c r="G66" s="195"/>
      <c r="H66" s="195"/>
      <c r="I66" s="195"/>
      <c r="J66" s="195" t="s">
        <v>98</v>
      </c>
      <c r="K66" s="195"/>
      <c r="L66" s="195" t="s">
        <v>100</v>
      </c>
      <c r="M66" s="195"/>
      <c r="N66" s="195" t="s">
        <v>102</v>
      </c>
      <c r="O66" s="195"/>
      <c r="P66" s="195" t="s">
        <v>104</v>
      </c>
      <c r="Q66" s="195"/>
      <c r="R66" s="195" t="s">
        <v>111</v>
      </c>
      <c r="S66" s="195"/>
      <c r="T66" s="196" t="s">
        <v>119</v>
      </c>
      <c r="U66" s="197"/>
      <c r="V66" s="5"/>
    </row>
    <row r="67" spans="1:22" x14ac:dyDescent="0.35">
      <c r="A67" s="305"/>
      <c r="B67" s="279" t="s">
        <v>19</v>
      </c>
      <c r="C67" s="332"/>
      <c r="D67" s="332"/>
      <c r="E67" s="332"/>
      <c r="F67" s="332"/>
      <c r="G67" s="332"/>
      <c r="H67" s="332"/>
      <c r="I67" s="332"/>
      <c r="J67" s="332">
        <v>1000296</v>
      </c>
      <c r="K67" s="332"/>
      <c r="L67" s="333">
        <v>385025</v>
      </c>
      <c r="M67" s="332"/>
      <c r="N67" s="332">
        <f>5637+303</f>
        <v>5940</v>
      </c>
      <c r="O67" s="332"/>
      <c r="P67" s="332">
        <v>303</v>
      </c>
      <c r="Q67" s="332"/>
      <c r="R67" s="332">
        <v>0</v>
      </c>
      <c r="S67" s="332"/>
      <c r="T67" s="333">
        <f>+L67-N67+P67-R67</f>
        <v>379388</v>
      </c>
      <c r="U67" s="282"/>
      <c r="V67" s="5"/>
    </row>
    <row r="68" spans="1:22" x14ac:dyDescent="0.35">
      <c r="A68" s="305"/>
      <c r="B68" s="279" t="s">
        <v>20</v>
      </c>
      <c r="C68" s="332"/>
      <c r="D68" s="332"/>
      <c r="E68" s="332"/>
      <c r="F68" s="332"/>
      <c r="G68" s="332"/>
      <c r="H68" s="332"/>
      <c r="I68" s="332"/>
      <c r="J68" s="332">
        <v>54</v>
      </c>
      <c r="K68" s="332"/>
      <c r="L68" s="333">
        <v>0</v>
      </c>
      <c r="M68" s="332"/>
      <c r="N68" s="332">
        <v>0</v>
      </c>
      <c r="O68" s="332"/>
      <c r="P68" s="332">
        <v>0</v>
      </c>
      <c r="Q68" s="332"/>
      <c r="R68" s="332">
        <v>0</v>
      </c>
      <c r="S68" s="332"/>
      <c r="T68" s="333">
        <v>0</v>
      </c>
      <c r="U68" s="282"/>
      <c r="V68" s="5"/>
    </row>
    <row r="69" spans="1:22" x14ac:dyDescent="0.35">
      <c r="A69" s="305"/>
      <c r="B69" s="279"/>
      <c r="C69" s="332"/>
      <c r="D69" s="332"/>
      <c r="E69" s="332"/>
      <c r="F69" s="332"/>
      <c r="G69" s="332"/>
      <c r="H69" s="332"/>
      <c r="I69" s="332"/>
      <c r="J69" s="332"/>
      <c r="K69" s="332"/>
      <c r="L69" s="333"/>
      <c r="M69" s="332"/>
      <c r="N69" s="332"/>
      <c r="O69" s="332"/>
      <c r="P69" s="332"/>
      <c r="Q69" s="332"/>
      <c r="R69" s="332"/>
      <c r="S69" s="332"/>
      <c r="T69" s="333"/>
      <c r="U69" s="282"/>
      <c r="V69" s="5"/>
    </row>
    <row r="70" spans="1:22" x14ac:dyDescent="0.35">
      <c r="A70" s="305"/>
      <c r="B70" s="279" t="s">
        <v>21</v>
      </c>
      <c r="C70" s="332"/>
      <c r="D70" s="332"/>
      <c r="E70" s="332"/>
      <c r="F70" s="332"/>
      <c r="G70" s="332"/>
      <c r="H70" s="332"/>
      <c r="I70" s="332"/>
      <c r="J70" s="332">
        <f>SUM(J67:J69)</f>
        <v>1000350</v>
      </c>
      <c r="K70" s="332"/>
      <c r="L70" s="332">
        <f>L67+L68</f>
        <v>385025</v>
      </c>
      <c r="M70" s="332"/>
      <c r="N70" s="332">
        <f>SUM(N67:N69)</f>
        <v>5940</v>
      </c>
      <c r="O70" s="332"/>
      <c r="P70" s="332">
        <f>SUM(P67:P69)</f>
        <v>303</v>
      </c>
      <c r="Q70" s="332"/>
      <c r="R70" s="332">
        <f>SUM(R67:R69)</f>
        <v>0</v>
      </c>
      <c r="S70" s="332"/>
      <c r="T70" s="332">
        <f>SUM(T67:T69)</f>
        <v>379388</v>
      </c>
      <c r="U70" s="282"/>
      <c r="V70" s="5"/>
    </row>
    <row r="71" spans="1:22" x14ac:dyDescent="0.35">
      <c r="A71" s="174"/>
      <c r="B71" s="329"/>
      <c r="C71" s="330"/>
      <c r="D71" s="330"/>
      <c r="E71" s="330"/>
      <c r="F71" s="330"/>
      <c r="G71" s="330"/>
      <c r="H71" s="330"/>
      <c r="I71" s="330"/>
      <c r="J71" s="330"/>
      <c r="K71" s="330"/>
      <c r="L71" s="330"/>
      <c r="M71" s="330"/>
      <c r="N71" s="330"/>
      <c r="O71" s="330"/>
      <c r="P71" s="330"/>
      <c r="Q71" s="330"/>
      <c r="R71" s="330"/>
      <c r="S71" s="330"/>
      <c r="T71" s="331"/>
      <c r="U71" s="329"/>
      <c r="V71" s="5"/>
    </row>
    <row r="72" spans="1:22" x14ac:dyDescent="0.35">
      <c r="A72" s="174"/>
      <c r="B72" s="178" t="s">
        <v>22</v>
      </c>
      <c r="C72" s="198"/>
      <c r="D72" s="198"/>
      <c r="E72" s="198"/>
      <c r="F72" s="198"/>
      <c r="G72" s="198"/>
      <c r="H72" s="198"/>
      <c r="I72" s="198"/>
      <c r="J72" s="198"/>
      <c r="K72" s="198"/>
      <c r="L72" s="198"/>
      <c r="M72" s="198"/>
      <c r="N72" s="198"/>
      <c r="O72" s="198"/>
      <c r="P72" s="198"/>
      <c r="Q72" s="198"/>
      <c r="R72" s="198"/>
      <c r="S72" s="198"/>
      <c r="T72" s="199"/>
      <c r="U72" s="176"/>
      <c r="V72" s="5"/>
    </row>
    <row r="73" spans="1:22" x14ac:dyDescent="0.35">
      <c r="A73" s="174"/>
      <c r="B73" s="176"/>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278"/>
      <c r="B74" s="279" t="s">
        <v>19</v>
      </c>
      <c r="C74" s="332"/>
      <c r="D74" s="332"/>
      <c r="E74" s="332"/>
      <c r="F74" s="332"/>
      <c r="G74" s="332"/>
      <c r="H74" s="332"/>
      <c r="I74" s="332"/>
      <c r="J74" s="332"/>
      <c r="K74" s="332"/>
      <c r="L74" s="332"/>
      <c r="M74" s="332"/>
      <c r="N74" s="332"/>
      <c r="O74" s="332"/>
      <c r="P74" s="332"/>
      <c r="Q74" s="332"/>
      <c r="R74" s="332"/>
      <c r="S74" s="332"/>
      <c r="T74" s="332"/>
      <c r="U74" s="282"/>
      <c r="V74" s="5"/>
    </row>
    <row r="75" spans="1:22" x14ac:dyDescent="0.35">
      <c r="A75" s="278"/>
      <c r="B75" s="279" t="s">
        <v>20</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t="s">
        <v>21</v>
      </c>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t="s">
        <v>23</v>
      </c>
      <c r="C79" s="332"/>
      <c r="D79" s="332"/>
      <c r="E79" s="332"/>
      <c r="F79" s="332"/>
      <c r="G79" s="332"/>
      <c r="H79" s="332"/>
      <c r="I79" s="332"/>
      <c r="J79" s="332">
        <v>0</v>
      </c>
      <c r="K79" s="332"/>
      <c r="L79" s="332">
        <v>0</v>
      </c>
      <c r="M79" s="332"/>
      <c r="N79" s="332"/>
      <c r="O79" s="332"/>
      <c r="P79" s="332"/>
      <c r="Q79" s="332"/>
      <c r="R79" s="332"/>
      <c r="S79" s="332"/>
      <c r="T79" s="333">
        <v>0</v>
      </c>
      <c r="U79" s="282"/>
      <c r="V79" s="5"/>
    </row>
    <row r="80" spans="1:22" x14ac:dyDescent="0.35">
      <c r="A80" s="278"/>
      <c r="B80" s="279" t="s">
        <v>124</v>
      </c>
      <c r="C80" s="332"/>
      <c r="D80" s="332"/>
      <c r="E80" s="332"/>
      <c r="F80" s="332"/>
      <c r="G80" s="332"/>
      <c r="H80" s="332"/>
      <c r="I80" s="332"/>
      <c r="J80" s="332">
        <v>0</v>
      </c>
      <c r="K80" s="332"/>
      <c r="L80" s="332">
        <v>0</v>
      </c>
      <c r="M80" s="332"/>
      <c r="N80" s="332"/>
      <c r="O80" s="332"/>
      <c r="P80" s="332"/>
      <c r="Q80" s="332"/>
      <c r="R80" s="332"/>
      <c r="S80" s="332"/>
      <c r="T80" s="332">
        <f>SUM(J80:P80)</f>
        <v>0</v>
      </c>
      <c r="U80" s="282"/>
      <c r="V80" s="5"/>
    </row>
    <row r="81" spans="1:22" x14ac:dyDescent="0.35">
      <c r="A81" s="278"/>
      <c r="B81" s="279" t="s">
        <v>153</v>
      </c>
      <c r="C81" s="332"/>
      <c r="D81" s="332"/>
      <c r="E81" s="332"/>
      <c r="F81" s="332"/>
      <c r="G81" s="332"/>
      <c r="H81" s="332"/>
      <c r="I81" s="332"/>
      <c r="J81" s="332">
        <v>3</v>
      </c>
      <c r="K81" s="332"/>
      <c r="L81" s="332">
        <v>0</v>
      </c>
      <c r="M81" s="332"/>
      <c r="N81" s="332"/>
      <c r="O81" s="332"/>
      <c r="P81" s="332"/>
      <c r="Q81" s="332"/>
      <c r="R81" s="332"/>
      <c r="S81" s="332"/>
      <c r="T81" s="332">
        <f>+L81+N81</f>
        <v>0</v>
      </c>
      <c r="U81" s="282"/>
      <c r="V81" s="5"/>
    </row>
    <row r="82" spans="1:22" x14ac:dyDescent="0.35">
      <c r="A82" s="278"/>
      <c r="B82" s="279" t="s">
        <v>25</v>
      </c>
      <c r="C82" s="332"/>
      <c r="D82" s="332"/>
      <c r="E82" s="332"/>
      <c r="F82" s="332"/>
      <c r="G82" s="332"/>
      <c r="H82" s="332"/>
      <c r="I82" s="332"/>
      <c r="J82" s="332">
        <v>0</v>
      </c>
      <c r="K82" s="332"/>
      <c r="L82" s="332">
        <v>0</v>
      </c>
      <c r="M82" s="332"/>
      <c r="N82" s="332"/>
      <c r="O82" s="332"/>
      <c r="P82" s="332"/>
      <c r="Q82" s="332"/>
      <c r="R82" s="332"/>
      <c r="S82" s="332"/>
      <c r="T82" s="332">
        <v>0</v>
      </c>
      <c r="U82" s="282"/>
      <c r="V82" s="5"/>
    </row>
    <row r="83" spans="1:22" x14ac:dyDescent="0.35">
      <c r="A83" s="278"/>
      <c r="B83" s="279" t="s">
        <v>26</v>
      </c>
      <c r="C83" s="332"/>
      <c r="D83" s="332"/>
      <c r="E83" s="332"/>
      <c r="F83" s="332"/>
      <c r="G83" s="332"/>
      <c r="H83" s="332"/>
      <c r="I83" s="332"/>
      <c r="J83" s="332">
        <f>SUM(J70:J82)</f>
        <v>1000353</v>
      </c>
      <c r="K83" s="332"/>
      <c r="L83" s="332">
        <f>SUM(L70:L82)</f>
        <v>385025</v>
      </c>
      <c r="M83" s="332"/>
      <c r="N83" s="332"/>
      <c r="O83" s="332"/>
      <c r="P83" s="332"/>
      <c r="Q83" s="332"/>
      <c r="R83" s="332"/>
      <c r="S83" s="332"/>
      <c r="T83" s="332">
        <f>SUM(T70:T82)</f>
        <v>379388</v>
      </c>
      <c r="U83" s="282"/>
      <c r="V83" s="5"/>
    </row>
    <row r="84" spans="1:22" x14ac:dyDescent="0.35">
      <c r="A84" s="174"/>
      <c r="B84" s="329"/>
      <c r="C84" s="330"/>
      <c r="D84" s="330"/>
      <c r="E84" s="330"/>
      <c r="F84" s="330"/>
      <c r="G84" s="330"/>
      <c r="H84" s="330"/>
      <c r="I84" s="330"/>
      <c r="J84" s="330"/>
      <c r="K84" s="330"/>
      <c r="L84" s="330"/>
      <c r="M84" s="330"/>
      <c r="N84" s="330"/>
      <c r="O84" s="330"/>
      <c r="P84" s="330"/>
      <c r="Q84" s="330"/>
      <c r="R84" s="330"/>
      <c r="S84" s="330"/>
      <c r="T84" s="331"/>
      <c r="U84" s="329"/>
      <c r="V84" s="5"/>
    </row>
    <row r="85" spans="1:22" x14ac:dyDescent="0.35">
      <c r="A85" s="174"/>
      <c r="B85" s="176"/>
      <c r="C85" s="176"/>
      <c r="D85" s="176"/>
      <c r="E85" s="176"/>
      <c r="F85" s="176"/>
      <c r="G85" s="176"/>
      <c r="H85" s="176"/>
      <c r="I85" s="176"/>
      <c r="J85" s="176"/>
      <c r="K85" s="176"/>
      <c r="L85" s="176"/>
      <c r="M85" s="176"/>
      <c r="N85" s="176"/>
      <c r="O85" s="176"/>
      <c r="P85" s="176"/>
      <c r="Q85" s="176"/>
      <c r="R85" s="176"/>
      <c r="S85" s="176"/>
      <c r="T85" s="176"/>
      <c r="U85" s="176"/>
      <c r="V85" s="5"/>
    </row>
    <row r="86" spans="1:22" x14ac:dyDescent="0.35">
      <c r="A86" s="252"/>
      <c r="B86" s="385" t="s">
        <v>27</v>
      </c>
      <c r="C86" s="385"/>
      <c r="D86" s="385"/>
      <c r="E86" s="385"/>
      <c r="F86" s="385"/>
      <c r="G86" s="385"/>
      <c r="H86" s="386"/>
      <c r="I86" s="386"/>
      <c r="J86" s="387" t="s">
        <v>99</v>
      </c>
      <c r="K86" s="386"/>
      <c r="L86" s="388">
        <f>+R197</f>
        <v>42794</v>
      </c>
      <c r="M86" s="386"/>
      <c r="N86" s="386"/>
      <c r="O86" s="386"/>
      <c r="P86" s="386"/>
      <c r="Q86" s="386"/>
      <c r="R86" s="386" t="s">
        <v>112</v>
      </c>
      <c r="S86" s="386"/>
      <c r="T86" s="386" t="s">
        <v>120</v>
      </c>
      <c r="U86" s="253"/>
      <c r="V86" s="5"/>
    </row>
    <row r="87" spans="1:22" x14ac:dyDescent="0.35">
      <c r="A87" s="305"/>
      <c r="B87" s="279" t="s">
        <v>28</v>
      </c>
      <c r="C87" s="279"/>
      <c r="D87" s="279"/>
      <c r="E87" s="279"/>
      <c r="F87" s="279"/>
      <c r="G87" s="279"/>
      <c r="H87" s="279"/>
      <c r="I87" s="279"/>
      <c r="J87" s="279"/>
      <c r="K87" s="279"/>
      <c r="L87" s="279"/>
      <c r="M87" s="279"/>
      <c r="N87" s="279"/>
      <c r="O87" s="279"/>
      <c r="P87" s="279"/>
      <c r="Q87" s="279"/>
      <c r="R87" s="332">
        <v>0</v>
      </c>
      <c r="S87" s="279"/>
      <c r="T87" s="333">
        <v>0</v>
      </c>
      <c r="U87" s="282"/>
      <c r="V87" s="5"/>
    </row>
    <row r="88" spans="1:22" x14ac:dyDescent="0.35">
      <c r="A88" s="305"/>
      <c r="B88" s="279" t="s">
        <v>29</v>
      </c>
      <c r="C88" s="279"/>
      <c r="D88" s="279"/>
      <c r="E88" s="279"/>
      <c r="F88" s="279"/>
      <c r="G88" s="279"/>
      <c r="H88" s="319"/>
      <c r="I88" s="335"/>
      <c r="J88" s="319"/>
      <c r="K88" s="279"/>
      <c r="L88" s="336"/>
      <c r="M88" s="279"/>
      <c r="N88" s="279"/>
      <c r="O88" s="279"/>
      <c r="P88" s="279"/>
      <c r="Q88" s="279"/>
      <c r="R88" s="332">
        <f>5940-373</f>
        <v>5567</v>
      </c>
      <c r="S88" s="279"/>
      <c r="T88" s="333"/>
      <c r="U88" s="282"/>
      <c r="V88" s="5"/>
    </row>
    <row r="89" spans="1:22" x14ac:dyDescent="0.35">
      <c r="A89" s="305"/>
      <c r="B89" s="279" t="s">
        <v>259</v>
      </c>
      <c r="C89" s="279"/>
      <c r="D89" s="279"/>
      <c r="E89" s="279"/>
      <c r="F89" s="279"/>
      <c r="G89" s="279"/>
      <c r="H89" s="319"/>
      <c r="I89" s="335"/>
      <c r="J89" s="319"/>
      <c r="K89" s="279"/>
      <c r="L89" s="336"/>
      <c r="M89" s="279"/>
      <c r="N89" s="279"/>
      <c r="O89" s="279"/>
      <c r="P89" s="279"/>
      <c r="Q89" s="279"/>
      <c r="R89" s="332"/>
      <c r="S89" s="279"/>
      <c r="T89" s="333">
        <f>1861+913-468-219</f>
        <v>2087</v>
      </c>
      <c r="U89" s="282"/>
      <c r="V89" s="5"/>
    </row>
    <row r="90" spans="1:22" x14ac:dyDescent="0.35">
      <c r="A90" s="305"/>
      <c r="B90" s="279" t="s">
        <v>254</v>
      </c>
      <c r="C90" s="279"/>
      <c r="D90" s="279"/>
      <c r="E90" s="279"/>
      <c r="F90" s="279"/>
      <c r="G90" s="279"/>
      <c r="H90" s="319"/>
      <c r="I90" s="335"/>
      <c r="J90" s="319"/>
      <c r="K90" s="279"/>
      <c r="L90" s="336"/>
      <c r="M90" s="279"/>
      <c r="N90" s="279"/>
      <c r="O90" s="279"/>
      <c r="P90" s="279"/>
      <c r="Q90" s="279"/>
      <c r="R90" s="332"/>
      <c r="S90" s="279"/>
      <c r="T90" s="333">
        <f>149+34</f>
        <v>183</v>
      </c>
      <c r="U90" s="282"/>
      <c r="V90" s="5"/>
    </row>
    <row r="91" spans="1:22" x14ac:dyDescent="0.35">
      <c r="A91" s="305"/>
      <c r="B91" s="279" t="s">
        <v>255</v>
      </c>
      <c r="C91" s="279"/>
      <c r="D91" s="279"/>
      <c r="E91" s="279"/>
      <c r="F91" s="279"/>
      <c r="G91" s="279"/>
      <c r="H91" s="319"/>
      <c r="I91" s="335"/>
      <c r="J91" s="319"/>
      <c r="K91" s="279"/>
      <c r="L91" s="336"/>
      <c r="M91" s="279"/>
      <c r="N91" s="279"/>
      <c r="O91" s="279"/>
      <c r="P91" s="279"/>
      <c r="Q91" s="279"/>
      <c r="R91" s="332"/>
      <c r="S91" s="279"/>
      <c r="T91" s="333">
        <v>17</v>
      </c>
      <c r="U91" s="282"/>
      <c r="V91" s="5"/>
    </row>
    <row r="92" spans="1:22" x14ac:dyDescent="0.35">
      <c r="A92" s="305"/>
      <c r="B92" s="279" t="s">
        <v>273</v>
      </c>
      <c r="C92" s="279"/>
      <c r="D92" s="279"/>
      <c r="E92" s="279"/>
      <c r="F92" s="279"/>
      <c r="G92" s="279"/>
      <c r="H92" s="319"/>
      <c r="I92" s="335"/>
      <c r="J92" s="319"/>
      <c r="K92" s="279"/>
      <c r="L92" s="336"/>
      <c r="M92" s="279"/>
      <c r="N92" s="279"/>
      <c r="O92" s="279"/>
      <c r="P92" s="279"/>
      <c r="Q92" s="279"/>
      <c r="R92" s="332"/>
      <c r="S92" s="279"/>
      <c r="T92" s="333">
        <v>0</v>
      </c>
      <c r="U92" s="282"/>
      <c r="V92" s="5"/>
    </row>
    <row r="93" spans="1:22" x14ac:dyDescent="0.35">
      <c r="A93" s="305"/>
      <c r="B93" s="279" t="s">
        <v>142</v>
      </c>
      <c r="C93" s="279"/>
      <c r="D93" s="279"/>
      <c r="E93" s="279"/>
      <c r="F93" s="279"/>
      <c r="G93" s="279"/>
      <c r="H93" s="279"/>
      <c r="I93" s="279"/>
      <c r="J93" s="279"/>
      <c r="K93" s="279"/>
      <c r="L93" s="279"/>
      <c r="M93" s="279"/>
      <c r="N93" s="279"/>
      <c r="O93" s="279"/>
      <c r="P93" s="279"/>
      <c r="Q93" s="279"/>
      <c r="R93" s="332"/>
      <c r="S93" s="279"/>
      <c r="T93" s="333">
        <v>0</v>
      </c>
      <c r="U93" s="282"/>
      <c r="V93" s="5"/>
    </row>
    <row r="94" spans="1:22" x14ac:dyDescent="0.35">
      <c r="A94" s="305"/>
      <c r="B94" s="279" t="s">
        <v>234</v>
      </c>
      <c r="C94" s="279"/>
      <c r="D94" s="279"/>
      <c r="E94" s="279"/>
      <c r="F94" s="279"/>
      <c r="G94" s="279"/>
      <c r="H94" s="279"/>
      <c r="I94" s="279"/>
      <c r="J94" s="279"/>
      <c r="K94" s="279"/>
      <c r="L94" s="279"/>
      <c r="M94" s="279"/>
      <c r="N94" s="279"/>
      <c r="O94" s="279"/>
      <c r="P94" s="279"/>
      <c r="Q94" s="279"/>
      <c r="R94" s="332"/>
      <c r="S94" s="279"/>
      <c r="T94" s="333">
        <v>67</v>
      </c>
      <c r="U94" s="282"/>
      <c r="V94" s="5"/>
    </row>
    <row r="95" spans="1:22" x14ac:dyDescent="0.35">
      <c r="A95" s="305"/>
      <c r="B95" s="279" t="s">
        <v>30</v>
      </c>
      <c r="C95" s="279"/>
      <c r="D95" s="279"/>
      <c r="E95" s="279"/>
      <c r="F95" s="279"/>
      <c r="G95" s="279"/>
      <c r="H95" s="279"/>
      <c r="I95" s="279"/>
      <c r="J95" s="279"/>
      <c r="K95" s="279"/>
      <c r="L95" s="279"/>
      <c r="M95" s="279"/>
      <c r="N95" s="279"/>
      <c r="O95" s="279"/>
      <c r="P95" s="279"/>
      <c r="Q95" s="279"/>
      <c r="R95" s="332">
        <f>SUM(R87:R94)</f>
        <v>5567</v>
      </c>
      <c r="S95" s="279"/>
      <c r="T95" s="332">
        <f>SUM(T87:T94)</f>
        <v>2354</v>
      </c>
      <c r="U95" s="282"/>
      <c r="V95" s="5"/>
    </row>
    <row r="96" spans="1:22" x14ac:dyDescent="0.35">
      <c r="A96" s="305"/>
      <c r="B96" s="279" t="s">
        <v>170</v>
      </c>
      <c r="C96" s="279"/>
      <c r="D96" s="279"/>
      <c r="E96" s="279"/>
      <c r="F96" s="279"/>
      <c r="G96" s="279"/>
      <c r="H96" s="279"/>
      <c r="I96" s="279"/>
      <c r="J96" s="279"/>
      <c r="K96" s="279"/>
      <c r="L96" s="279"/>
      <c r="M96" s="279"/>
      <c r="N96" s="279"/>
      <c r="O96" s="279"/>
      <c r="P96" s="279"/>
      <c r="Q96" s="279"/>
      <c r="R96" s="332">
        <f>-T96</f>
        <v>0</v>
      </c>
      <c r="S96" s="279"/>
      <c r="T96" s="332">
        <v>0</v>
      </c>
      <c r="U96" s="282"/>
      <c r="V96" s="5"/>
    </row>
    <row r="97" spans="1:23" x14ac:dyDescent="0.35">
      <c r="A97" s="305"/>
      <c r="B97" s="279" t="s">
        <v>31</v>
      </c>
      <c r="C97" s="279"/>
      <c r="D97" s="279"/>
      <c r="E97" s="279"/>
      <c r="F97" s="279"/>
      <c r="G97" s="279"/>
      <c r="H97" s="279"/>
      <c r="I97" s="279"/>
      <c r="J97" s="279"/>
      <c r="K97" s="279"/>
      <c r="L97" s="279"/>
      <c r="M97" s="279"/>
      <c r="N97" s="279"/>
      <c r="O97" s="279"/>
      <c r="P97" s="279"/>
      <c r="Q97" s="279"/>
      <c r="R97" s="332">
        <f>-T97</f>
        <v>0</v>
      </c>
      <c r="S97" s="279"/>
      <c r="T97" s="333">
        <v>0</v>
      </c>
      <c r="U97" s="282"/>
      <c r="V97" s="5"/>
    </row>
    <row r="98" spans="1:23" x14ac:dyDescent="0.35">
      <c r="A98" s="305"/>
      <c r="B98" s="279" t="s">
        <v>285</v>
      </c>
      <c r="C98" s="279"/>
      <c r="D98" s="279"/>
      <c r="E98" s="279"/>
      <c r="F98" s="279"/>
      <c r="G98" s="279"/>
      <c r="H98" s="279"/>
      <c r="I98" s="279"/>
      <c r="J98" s="279"/>
      <c r="K98" s="279"/>
      <c r="L98" s="279"/>
      <c r="M98" s="279"/>
      <c r="N98" s="279"/>
      <c r="O98" s="279"/>
      <c r="P98" s="279"/>
      <c r="Q98" s="279"/>
      <c r="R98" s="332"/>
      <c r="S98" s="279"/>
      <c r="T98" s="333">
        <v>140</v>
      </c>
      <c r="U98" s="282"/>
      <c r="V98" s="5"/>
    </row>
    <row r="99" spans="1:23" x14ac:dyDescent="0.35">
      <c r="A99" s="305"/>
      <c r="B99" s="279" t="s">
        <v>32</v>
      </c>
      <c r="C99" s="279"/>
      <c r="D99" s="279"/>
      <c r="E99" s="279"/>
      <c r="F99" s="279"/>
      <c r="G99" s="279"/>
      <c r="H99" s="279"/>
      <c r="I99" s="279"/>
      <c r="J99" s="279"/>
      <c r="K99" s="279"/>
      <c r="L99" s="279"/>
      <c r="M99" s="279"/>
      <c r="N99" s="279"/>
      <c r="O99" s="279"/>
      <c r="P99" s="279"/>
      <c r="Q99" s="279"/>
      <c r="R99" s="332">
        <f>R95+R97+R96</f>
        <v>5567</v>
      </c>
      <c r="S99" s="279"/>
      <c r="T99" s="332">
        <f>T95+T97+T96+T98</f>
        <v>2494</v>
      </c>
      <c r="U99" s="282"/>
      <c r="V99" s="5"/>
    </row>
    <row r="100" spans="1:23" x14ac:dyDescent="0.35">
      <c r="A100" s="305"/>
      <c r="B100" s="337" t="s">
        <v>33</v>
      </c>
      <c r="C100" s="307"/>
      <c r="D100" s="307"/>
      <c r="E100" s="307"/>
      <c r="F100" s="307"/>
      <c r="G100" s="307"/>
      <c r="H100" s="307"/>
      <c r="I100" s="307"/>
      <c r="J100" s="307"/>
      <c r="K100" s="307"/>
      <c r="L100" s="307"/>
      <c r="M100" s="307"/>
      <c r="N100" s="307"/>
      <c r="O100" s="307"/>
      <c r="P100" s="307"/>
      <c r="Q100" s="307"/>
      <c r="R100" s="338"/>
      <c r="S100" s="307"/>
      <c r="T100" s="339"/>
      <c r="U100" s="312"/>
      <c r="V100" s="5"/>
    </row>
    <row r="101" spans="1:23" x14ac:dyDescent="0.35">
      <c r="A101" s="278">
        <v>1</v>
      </c>
      <c r="B101" s="279" t="s">
        <v>34</v>
      </c>
      <c r="C101" s="279"/>
      <c r="D101" s="279"/>
      <c r="E101" s="279"/>
      <c r="F101" s="279"/>
      <c r="G101" s="279"/>
      <c r="H101" s="279"/>
      <c r="I101" s="279"/>
      <c r="J101" s="279"/>
      <c r="K101" s="279"/>
      <c r="L101" s="279"/>
      <c r="M101" s="279"/>
      <c r="N101" s="279"/>
      <c r="O101" s="279"/>
      <c r="P101" s="279"/>
      <c r="Q101" s="279"/>
      <c r="R101" s="279"/>
      <c r="S101" s="279"/>
      <c r="T101" s="333">
        <v>0</v>
      </c>
      <c r="U101" s="282"/>
      <c r="V101" s="5"/>
    </row>
    <row r="102" spans="1:23" x14ac:dyDescent="0.35">
      <c r="A102" s="278">
        <f>+A101+1</f>
        <v>2</v>
      </c>
      <c r="B102" s="394" t="s">
        <v>325</v>
      </c>
      <c r="C102" s="279"/>
      <c r="D102" s="279"/>
      <c r="E102" s="279"/>
      <c r="F102" s="279"/>
      <c r="G102" s="279"/>
      <c r="H102" s="279"/>
      <c r="I102" s="279"/>
      <c r="J102" s="279"/>
      <c r="K102" s="279"/>
      <c r="L102" s="279"/>
      <c r="M102" s="279"/>
      <c r="N102" s="279"/>
      <c r="O102" s="279"/>
      <c r="P102" s="279"/>
      <c r="Q102" s="279"/>
      <c r="R102" s="279"/>
      <c r="S102" s="279"/>
      <c r="T102" s="333">
        <v>-2</v>
      </c>
      <c r="U102" s="282"/>
      <c r="V102" s="5"/>
    </row>
    <row r="103" spans="1:23" x14ac:dyDescent="0.35">
      <c r="A103" s="278">
        <f>+A102+1</f>
        <v>3</v>
      </c>
      <c r="B103" s="394" t="s">
        <v>327</v>
      </c>
      <c r="C103" s="279"/>
      <c r="D103" s="279"/>
      <c r="E103" s="279"/>
      <c r="F103" s="279"/>
      <c r="G103" s="279"/>
      <c r="H103" s="279"/>
      <c r="I103" s="279"/>
      <c r="J103" s="279"/>
      <c r="K103" s="279"/>
      <c r="L103" s="279"/>
      <c r="M103" s="279"/>
      <c r="N103" s="279"/>
      <c r="O103" s="279"/>
      <c r="P103" s="279"/>
      <c r="Q103" s="279"/>
      <c r="R103" s="279"/>
      <c r="S103" s="279"/>
      <c r="T103" s="333">
        <f>-146-105-5</f>
        <v>-256</v>
      </c>
      <c r="U103" s="282"/>
      <c r="V103" s="5"/>
    </row>
    <row r="104" spans="1:23" x14ac:dyDescent="0.35">
      <c r="A104" s="278" t="s">
        <v>134</v>
      </c>
      <c r="B104" s="279" t="s">
        <v>123</v>
      </c>
      <c r="C104" s="279"/>
      <c r="D104" s="279"/>
      <c r="E104" s="279"/>
      <c r="F104" s="279"/>
      <c r="G104" s="279"/>
      <c r="H104" s="279"/>
      <c r="I104" s="279"/>
      <c r="J104" s="279"/>
      <c r="K104" s="279"/>
      <c r="L104" s="279"/>
      <c r="M104" s="279"/>
      <c r="N104" s="279"/>
      <c r="O104" s="279"/>
      <c r="P104" s="279"/>
      <c r="Q104" s="279"/>
      <c r="R104" s="279"/>
      <c r="S104" s="279"/>
      <c r="T104" s="333">
        <v>0</v>
      </c>
      <c r="U104" s="282"/>
      <c r="V104" s="5"/>
    </row>
    <row r="105" spans="1:23" x14ac:dyDescent="0.35">
      <c r="A105" s="278" t="s">
        <v>135</v>
      </c>
      <c r="B105" s="279" t="s">
        <v>169</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157</v>
      </c>
      <c r="B106" s="279" t="s">
        <v>353</v>
      </c>
      <c r="C106" s="279"/>
      <c r="D106" s="279"/>
      <c r="E106" s="279"/>
      <c r="F106" s="279"/>
      <c r="G106" s="279"/>
      <c r="H106" s="279"/>
      <c r="I106" s="279"/>
      <c r="J106" s="279"/>
      <c r="K106" s="279"/>
      <c r="L106" s="279"/>
      <c r="M106" s="279"/>
      <c r="N106" s="279"/>
      <c r="O106" s="279"/>
      <c r="P106" s="279"/>
      <c r="Q106" s="279"/>
      <c r="R106" s="279"/>
      <c r="S106" s="279"/>
      <c r="T106" s="333">
        <f>-48-179</f>
        <v>-227</v>
      </c>
      <c r="U106" s="282"/>
      <c r="V106" s="169"/>
      <c r="W106" s="109"/>
    </row>
    <row r="107" spans="1:23" x14ac:dyDescent="0.35">
      <c r="A107" s="278" t="s">
        <v>158</v>
      </c>
      <c r="B107" s="279" t="s">
        <v>354</v>
      </c>
      <c r="C107" s="279"/>
      <c r="D107" s="279"/>
      <c r="E107" s="279"/>
      <c r="F107" s="279"/>
      <c r="G107" s="279"/>
      <c r="H107" s="279"/>
      <c r="I107" s="279"/>
      <c r="J107" s="279"/>
      <c r="K107" s="279"/>
      <c r="L107" s="279"/>
      <c r="M107" s="279"/>
      <c r="N107" s="279"/>
      <c r="O107" s="279"/>
      <c r="P107" s="279"/>
      <c r="Q107" s="279"/>
      <c r="R107" s="279"/>
      <c r="S107" s="279"/>
      <c r="T107" s="333">
        <f>-273</f>
        <v>-273</v>
      </c>
      <c r="U107" s="282"/>
      <c r="V107" s="5"/>
      <c r="W107" s="109"/>
    </row>
    <row r="108" spans="1:23" x14ac:dyDescent="0.35">
      <c r="A108" s="278" t="s">
        <v>247</v>
      </c>
      <c r="B108" s="279" t="s">
        <v>214</v>
      </c>
      <c r="C108" s="279"/>
      <c r="D108" s="279"/>
      <c r="E108" s="279"/>
      <c r="F108" s="279"/>
      <c r="G108" s="279"/>
      <c r="H108" s="279"/>
      <c r="I108" s="279"/>
      <c r="J108" s="279"/>
      <c r="K108" s="279"/>
      <c r="L108" s="279"/>
      <c r="M108" s="279"/>
      <c r="N108" s="279"/>
      <c r="O108" s="279"/>
      <c r="P108" s="279"/>
      <c r="Q108" s="279"/>
      <c r="R108" s="279"/>
      <c r="S108" s="279"/>
      <c r="T108" s="333">
        <v>-25</v>
      </c>
      <c r="U108" s="282"/>
      <c r="V108" s="5"/>
      <c r="W108" s="109"/>
    </row>
    <row r="109" spans="1:23" x14ac:dyDescent="0.35">
      <c r="A109" s="278" t="s">
        <v>248</v>
      </c>
      <c r="B109" s="279" t="s">
        <v>215</v>
      </c>
      <c r="C109" s="279"/>
      <c r="D109" s="279"/>
      <c r="E109" s="279"/>
      <c r="F109" s="279"/>
      <c r="G109" s="279"/>
      <c r="H109" s="279"/>
      <c r="I109" s="279"/>
      <c r="J109" s="279"/>
      <c r="K109" s="279"/>
      <c r="L109" s="279"/>
      <c r="M109" s="279"/>
      <c r="N109" s="279"/>
      <c r="O109" s="279"/>
      <c r="P109" s="279"/>
      <c r="Q109" s="279"/>
      <c r="R109" s="279"/>
      <c r="S109" s="279"/>
      <c r="T109" s="333">
        <v>-54</v>
      </c>
      <c r="U109" s="282"/>
      <c r="V109" s="169"/>
      <c r="W109" s="109"/>
    </row>
    <row r="110" spans="1:23" x14ac:dyDescent="0.35">
      <c r="A110" s="278" t="s">
        <v>249</v>
      </c>
      <c r="B110" s="279" t="s">
        <v>230</v>
      </c>
      <c r="C110" s="279"/>
      <c r="D110" s="279"/>
      <c r="E110" s="279"/>
      <c r="F110" s="279"/>
      <c r="G110" s="279"/>
      <c r="H110" s="279"/>
      <c r="I110" s="279"/>
      <c r="J110" s="279"/>
      <c r="K110" s="279"/>
      <c r="L110" s="279"/>
      <c r="M110" s="279"/>
      <c r="N110" s="279"/>
      <c r="O110" s="279"/>
      <c r="P110" s="279"/>
      <c r="Q110" s="279"/>
      <c r="R110" s="279"/>
      <c r="S110" s="279"/>
      <c r="T110" s="333">
        <v>-56</v>
      </c>
      <c r="U110" s="282"/>
      <c r="V110" s="5"/>
      <c r="W110" s="109"/>
    </row>
    <row r="111" spans="1:23" x14ac:dyDescent="0.35">
      <c r="A111" s="278" t="s">
        <v>250</v>
      </c>
      <c r="B111" s="279" t="s">
        <v>216</v>
      </c>
      <c r="C111" s="279"/>
      <c r="D111" s="279"/>
      <c r="E111" s="279"/>
      <c r="F111" s="279"/>
      <c r="G111" s="279"/>
      <c r="H111" s="279"/>
      <c r="I111" s="279"/>
      <c r="J111" s="279"/>
      <c r="K111" s="279"/>
      <c r="L111" s="279"/>
      <c r="M111" s="279"/>
      <c r="N111" s="279"/>
      <c r="O111" s="279"/>
      <c r="P111" s="279"/>
      <c r="Q111" s="279"/>
      <c r="R111" s="279"/>
      <c r="S111" s="279"/>
      <c r="T111" s="333">
        <v>-145</v>
      </c>
      <c r="U111" s="282"/>
      <c r="V111" s="5"/>
      <c r="W111" s="109"/>
    </row>
    <row r="112" spans="1:23" x14ac:dyDescent="0.35">
      <c r="A112" s="278">
        <v>7</v>
      </c>
      <c r="B112" s="394" t="s">
        <v>326</v>
      </c>
      <c r="C112" s="279"/>
      <c r="D112" s="279"/>
      <c r="E112" s="279"/>
      <c r="F112" s="279"/>
      <c r="G112" s="279"/>
      <c r="H112" s="279"/>
      <c r="I112" s="279"/>
      <c r="J112" s="279"/>
      <c r="K112" s="279"/>
      <c r="L112" s="279"/>
      <c r="M112" s="279"/>
      <c r="N112" s="279"/>
      <c r="O112" s="279"/>
      <c r="P112" s="279"/>
      <c r="Q112" s="279"/>
      <c r="R112" s="279"/>
      <c r="S112" s="279"/>
      <c r="T112" s="333">
        <v>0</v>
      </c>
      <c r="U112" s="282"/>
      <c r="V112" s="5"/>
      <c r="W112" s="109"/>
    </row>
    <row r="113" spans="1:22" x14ac:dyDescent="0.35">
      <c r="A113" s="278">
        <v>8</v>
      </c>
      <c r="B113" s="279" t="s">
        <v>36</v>
      </c>
      <c r="C113" s="279"/>
      <c r="D113" s="279"/>
      <c r="E113" s="279"/>
      <c r="F113" s="279"/>
      <c r="G113" s="279"/>
      <c r="H113" s="279"/>
      <c r="I113" s="279"/>
      <c r="J113" s="279"/>
      <c r="K113" s="279"/>
      <c r="L113" s="279"/>
      <c r="M113" s="279"/>
      <c r="N113" s="279"/>
      <c r="O113" s="279"/>
      <c r="P113" s="279"/>
      <c r="Q113" s="279"/>
      <c r="R113" s="279"/>
      <c r="S113" s="279"/>
      <c r="T113" s="333">
        <v>-7</v>
      </c>
      <c r="U113" s="282"/>
      <c r="V113" s="5"/>
    </row>
    <row r="114" spans="1:22" x14ac:dyDescent="0.35">
      <c r="A114" s="278">
        <f t="shared" ref="A114:A119" si="0">+A113+1</f>
        <v>9</v>
      </c>
      <c r="B114" s="279" t="s">
        <v>47</v>
      </c>
      <c r="C114" s="279"/>
      <c r="D114" s="279"/>
      <c r="E114" s="279"/>
      <c r="F114" s="279"/>
      <c r="G114" s="279"/>
      <c r="H114" s="279"/>
      <c r="I114" s="279"/>
      <c r="J114" s="279"/>
      <c r="K114" s="279"/>
      <c r="L114" s="279"/>
      <c r="M114" s="279"/>
      <c r="N114" s="279"/>
      <c r="O114" s="279"/>
      <c r="P114" s="279"/>
      <c r="Q114" s="279"/>
      <c r="R114" s="332">
        <f>-T114</f>
        <v>373</v>
      </c>
      <c r="S114" s="279"/>
      <c r="T114" s="333">
        <v>-373</v>
      </c>
      <c r="U114" s="282"/>
      <c r="V114" s="5"/>
    </row>
    <row r="115" spans="1:22" x14ac:dyDescent="0.35">
      <c r="A115" s="278">
        <f t="shared" si="0"/>
        <v>10</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11</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12</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13</v>
      </c>
      <c r="B118" s="279" t="s">
        <v>156</v>
      </c>
      <c r="C118" s="279"/>
      <c r="D118" s="279"/>
      <c r="E118" s="279"/>
      <c r="F118" s="279"/>
      <c r="G118" s="279"/>
      <c r="H118" s="279"/>
      <c r="I118" s="279"/>
      <c r="J118" s="279"/>
      <c r="K118" s="279"/>
      <c r="L118" s="279"/>
      <c r="M118" s="279"/>
      <c r="N118" s="279"/>
      <c r="O118" s="279"/>
      <c r="P118" s="279"/>
      <c r="Q118" s="279"/>
      <c r="R118" s="279"/>
      <c r="S118" s="279"/>
      <c r="T118" s="333">
        <v>-145</v>
      </c>
      <c r="U118" s="282"/>
      <c r="V118" s="5"/>
    </row>
    <row r="119" spans="1:22" x14ac:dyDescent="0.35">
      <c r="A119" s="278">
        <f t="shared" si="0"/>
        <v>14</v>
      </c>
      <c r="B119" s="279" t="s">
        <v>133</v>
      </c>
      <c r="C119" s="279"/>
      <c r="D119" s="279"/>
      <c r="E119" s="279"/>
      <c r="F119" s="279"/>
      <c r="G119" s="279"/>
      <c r="H119" s="279"/>
      <c r="I119" s="279"/>
      <c r="J119" s="279"/>
      <c r="K119" s="279"/>
      <c r="L119" s="279"/>
      <c r="M119" s="279"/>
      <c r="N119" s="279"/>
      <c r="O119" s="279"/>
      <c r="P119" s="279"/>
      <c r="Q119" s="279"/>
      <c r="R119" s="279"/>
      <c r="S119" s="279"/>
      <c r="T119" s="333">
        <f>-T99-SUM(T101:T118)</f>
        <v>-931</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0</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-303</v>
      </c>
      <c r="S123" s="332"/>
      <c r="T123" s="333"/>
      <c r="U123" s="282"/>
      <c r="V123" s="5"/>
    </row>
    <row r="124" spans="1:22" x14ac:dyDescent="0.35">
      <c r="A124" s="278"/>
      <c r="B124" s="279" t="s">
        <v>377</v>
      </c>
      <c r="C124" s="279"/>
      <c r="D124" s="279"/>
      <c r="E124" s="279"/>
      <c r="F124" s="279"/>
      <c r="G124" s="279"/>
      <c r="H124" s="279"/>
      <c r="I124" s="279"/>
      <c r="J124" s="279"/>
      <c r="K124" s="279"/>
      <c r="L124" s="279"/>
      <c r="M124" s="279"/>
      <c r="N124" s="279"/>
      <c r="O124" s="279"/>
      <c r="P124" s="279"/>
      <c r="Q124" s="279"/>
      <c r="R124" s="332">
        <v>-4346</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-350</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-149</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-582</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-210</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-5940</v>
      </c>
      <c r="S131" s="332"/>
      <c r="T131" s="332">
        <f>SUM(T100:T129)</f>
        <v>-2494</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R99+R131+R114</f>
        <v>0</v>
      </c>
      <c r="S132" s="332"/>
      <c r="T132" s="332">
        <f>T99+T131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B63</f>
        <v>PM10 INVESTOR REPORT QUARTER ENDING FEBRUARY 2017</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335</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373</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373</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-373</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T70</f>
        <v>379388</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T83</f>
        <v>379388</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+'Nov 16'!Q182</f>
        <v>45626</v>
      </c>
      <c r="R180" s="333">
        <f>+'Nov 16'!R182</f>
        <v>5995</v>
      </c>
      <c r="S180" s="279"/>
      <c r="T180" s="333">
        <f>Q180+R180</f>
        <v>51621</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303</v>
      </c>
      <c r="R181" s="332">
        <v>0</v>
      </c>
      <c r="S181" s="279"/>
      <c r="T181" s="333">
        <f>Q181+R181</f>
        <v>303</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45929</v>
      </c>
      <c r="R182" s="333">
        <f>R181+R180</f>
        <v>5995</v>
      </c>
      <c r="S182" s="279"/>
      <c r="T182" s="333">
        <f>Q182+R182</f>
        <v>51924</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108132.48000000001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(T99+T101+T102+T103+T104+T105)/-(T106+T107)</f>
        <v>4.4720000000000004</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1.75</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(T99+T101+T102+T103+T104+T105+T106+T107)/-(T108+T109)</f>
        <v>21.974683544303797</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9.4700000000000006</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(T99+T101+T102+T103+T104+T105+T106+T107+T108+T109)/-(T110+T111)</f>
        <v>8.243781094527364</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4.57</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FEBRUARY 2017</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42794</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2.0899999999999998E-2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8.2120549269749515E-3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1.2687945073025047E-2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+T99/L67</f>
        <v>6.4775014609440946E-3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10.91</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+N67/L67</f>
        <v>1.5427569638335173E-2</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8.7300000000000003E-2</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74</v>
      </c>
      <c r="R216" s="358">
        <f>+R268</f>
        <v>12149</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373</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'Nov 16'!R222+R221</f>
        <v>6948</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5</v>
      </c>
      <c r="R228" s="358">
        <v>713</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1.02</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2826</v>
      </c>
      <c r="Q235" s="378">
        <f t="shared" ref="Q235:Q242" si="2">P235/$P$244</f>
        <v>0.99647390691114246</v>
      </c>
      <c r="R235" s="237">
        <f t="shared" ref="R235:R242" si="3">+R247+R259+R271</f>
        <v>378580</v>
      </c>
      <c r="S235" s="378">
        <f t="shared" ref="S235:S242" si="4">R235/$R$244</f>
        <v>0.99787025419886766</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1</v>
      </c>
      <c r="Q236" s="378">
        <f t="shared" si="2"/>
        <v>3.5260930888575458E-4</v>
      </c>
      <c r="R236" s="333">
        <f t="shared" si="3"/>
        <v>96</v>
      </c>
      <c r="S236" s="378">
        <f t="shared" si="4"/>
        <v>2.530391050850317E-4</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2</v>
      </c>
      <c r="Q237" s="378">
        <f t="shared" si="2"/>
        <v>7.0521861777150916E-4</v>
      </c>
      <c r="R237" s="333">
        <f t="shared" si="3"/>
        <v>127</v>
      </c>
      <c r="S237" s="378">
        <f t="shared" si="4"/>
        <v>3.3474964943540651E-4</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2</v>
      </c>
      <c r="Q238" s="378">
        <f t="shared" si="2"/>
        <v>7.0521861777150916E-4</v>
      </c>
      <c r="R238" s="333">
        <f t="shared" si="3"/>
        <v>230</v>
      </c>
      <c r="S238" s="378">
        <f t="shared" si="4"/>
        <v>6.0623952259955506E-4</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1</v>
      </c>
      <c r="Q239" s="378">
        <f t="shared" si="2"/>
        <v>3.5260930888575458E-4</v>
      </c>
      <c r="R239" s="333">
        <f t="shared" si="3"/>
        <v>17</v>
      </c>
      <c r="S239" s="378">
        <f t="shared" si="4"/>
        <v>4.4809008192141028E-5</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2</v>
      </c>
      <c r="Q240" s="378">
        <f t="shared" si="2"/>
        <v>7.0521861777150916E-4</v>
      </c>
      <c r="R240" s="333">
        <f t="shared" si="3"/>
        <v>183</v>
      </c>
      <c r="S240" s="378">
        <f t="shared" si="4"/>
        <v>4.8235579406834164E-4</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2</v>
      </c>
      <c r="Q241" s="378">
        <f t="shared" si="2"/>
        <v>7.0521861777150916E-4</v>
      </c>
      <c r="R241" s="333">
        <f t="shared" si="3"/>
        <v>155</v>
      </c>
      <c r="S241" s="378">
        <f t="shared" si="4"/>
        <v>4.0855272175187405E-4</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0</v>
      </c>
      <c r="Q242" s="378">
        <f t="shared" si="2"/>
        <v>0</v>
      </c>
      <c r="R242" s="333">
        <f t="shared" si="3"/>
        <v>0</v>
      </c>
      <c r="S242" s="383">
        <f t="shared" si="4"/>
        <v>0</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2836</v>
      </c>
      <c r="Q244" s="378">
        <f>SUM(Q235:Q243)</f>
        <v>1.0000000000000002</v>
      </c>
      <c r="R244" s="333">
        <f>SUM(R235:R243)</f>
        <v>379388</v>
      </c>
      <c r="S244" s="378">
        <f>SUM(S235:S243)</f>
        <v>0.99999999999999989</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2759</v>
      </c>
      <c r="Q247" s="244">
        <f t="shared" ref="Q247:Q254" si="5">P247/$P$256</f>
        <v>0.998913830557567</v>
      </c>
      <c r="R247" s="237">
        <v>367015</v>
      </c>
      <c r="S247" s="244">
        <f t="shared" ref="S247:S254" si="6">R247/$R$256</f>
        <v>0.99939004299652268</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0</v>
      </c>
      <c r="Q248" s="378">
        <f t="shared" si="5"/>
        <v>0</v>
      </c>
      <c r="R248" s="333">
        <v>0</v>
      </c>
      <c r="S248" s="378">
        <f t="shared" si="6"/>
        <v>0</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2</v>
      </c>
      <c r="Q249" s="378">
        <f t="shared" si="5"/>
        <v>7.2411296162201298E-4</v>
      </c>
      <c r="R249" s="333">
        <v>127</v>
      </c>
      <c r="S249" s="378">
        <f t="shared" si="6"/>
        <v>3.4582383679293322E-4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1</v>
      </c>
      <c r="Q250" s="378">
        <f t="shared" si="5"/>
        <v>3.6205648081100649E-4</v>
      </c>
      <c r="R250" s="333">
        <v>97</v>
      </c>
      <c r="S250" s="378">
        <f t="shared" si="6"/>
        <v>2.6413316668436629E-4</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2762</v>
      </c>
      <c r="Q256" s="378">
        <f>SUM(Q247:Q255)</f>
        <v>1</v>
      </c>
      <c r="R256" s="333">
        <f>SUM(R247:R255)</f>
        <v>367239</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67</v>
      </c>
      <c r="Q259" s="244">
        <f t="shared" ref="Q259:Q266" si="7">P259/$P$268</f>
        <v>0.90540540540540537</v>
      </c>
      <c r="R259" s="237">
        <v>11565</v>
      </c>
      <c r="S259" s="244">
        <f t="shared" ref="S259:S266" si="8">R259/$R$268</f>
        <v>0.95193020001646222</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1</v>
      </c>
      <c r="Q260" s="378">
        <f t="shared" si="7"/>
        <v>1.3513513513513514E-2</v>
      </c>
      <c r="R260" s="333">
        <v>96</v>
      </c>
      <c r="S260" s="378">
        <f t="shared" si="8"/>
        <v>7.9018849288007235E-3</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0</v>
      </c>
      <c r="Q261" s="378">
        <f t="shared" si="7"/>
        <v>0</v>
      </c>
      <c r="R261" s="333">
        <v>0</v>
      </c>
      <c r="S261" s="378">
        <f t="shared" si="8"/>
        <v>0</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1</v>
      </c>
      <c r="Q262" s="378">
        <f t="shared" si="7"/>
        <v>1.3513513513513514E-2</v>
      </c>
      <c r="R262" s="333">
        <v>133</v>
      </c>
      <c r="S262" s="378">
        <f t="shared" si="8"/>
        <v>1.094740307844267E-2</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1</v>
      </c>
      <c r="Q263" s="378">
        <f t="shared" si="7"/>
        <v>1.3513513513513514E-2</v>
      </c>
      <c r="R263" s="333">
        <v>17</v>
      </c>
      <c r="S263" s="378">
        <f t="shared" si="8"/>
        <v>1.3992921228084616E-3</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2</v>
      </c>
      <c r="Q264" s="378">
        <f t="shared" si="7"/>
        <v>2.7027027027027029E-2</v>
      </c>
      <c r="R264" s="333">
        <v>183</v>
      </c>
      <c r="S264" s="378">
        <f t="shared" si="8"/>
        <v>1.506296814552638E-2</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2</v>
      </c>
      <c r="Q265" s="378">
        <f t="shared" si="7"/>
        <v>2.7027027027027029E-2</v>
      </c>
      <c r="R265" s="333">
        <v>155</v>
      </c>
      <c r="S265" s="378">
        <f t="shared" si="8"/>
        <v>1.2758251707959503E-2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74</v>
      </c>
      <c r="Q268" s="378">
        <f>SUM(Q259:Q267)</f>
        <v>0.99999999999999978</v>
      </c>
      <c r="R268" s="333">
        <f>SUM(R259:R267)</f>
        <v>12149</v>
      </c>
      <c r="S268" s="378">
        <f>SUM(S259:S267)</f>
        <v>1</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2836</v>
      </c>
      <c r="Q282" s="378"/>
      <c r="R282" s="382">
        <f>+R280+R268+R256</f>
        <v>379388</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58"/>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16" t="s">
        <v>330</v>
      </c>
      <c r="C286" s="216"/>
      <c r="D286" s="216"/>
      <c r="E286" s="216"/>
      <c r="F286" s="249" t="s">
        <v>278</v>
      </c>
      <c r="G286" s="216"/>
      <c r="H286" s="216" t="s">
        <v>279</v>
      </c>
      <c r="I286" s="248"/>
      <c r="J286" s="248"/>
      <c r="K286" s="248"/>
      <c r="L286" s="248"/>
      <c r="M286" s="248"/>
      <c r="N286" s="248"/>
      <c r="O286" s="248"/>
      <c r="P286" s="248"/>
      <c r="Q286" s="248"/>
      <c r="R286" s="248"/>
      <c r="S286" s="248"/>
      <c r="T286" s="248"/>
      <c r="U286" s="248"/>
      <c r="V286" s="5"/>
    </row>
    <row r="287" spans="1:22" x14ac:dyDescent="0.35">
      <c r="A287" s="213"/>
      <c r="B287" s="216" t="s">
        <v>331</v>
      </c>
      <c r="C287" s="216"/>
      <c r="D287" s="216"/>
      <c r="E287" s="216"/>
      <c r="F287" s="249" t="s">
        <v>154</v>
      </c>
      <c r="G287" s="216"/>
      <c r="H287" s="216" t="s">
        <v>161</v>
      </c>
      <c r="I287" s="248"/>
      <c r="J287" s="248"/>
      <c r="K287" s="248"/>
      <c r="L287" s="248"/>
      <c r="M287" s="248"/>
      <c r="N287" s="248"/>
      <c r="O287" s="248"/>
      <c r="P287" s="248"/>
      <c r="Q287" s="248"/>
      <c r="R287" s="248"/>
      <c r="S287" s="248"/>
      <c r="T287" s="248"/>
      <c r="U287" s="248"/>
      <c r="V287" s="5"/>
    </row>
    <row r="288" spans="1:22" x14ac:dyDescent="0.35">
      <c r="A288" s="213"/>
      <c r="B288" s="216"/>
      <c r="C288" s="216"/>
      <c r="D288" s="216"/>
      <c r="E288" s="216"/>
      <c r="F288" s="249"/>
      <c r="G288" s="216"/>
      <c r="H288" s="216"/>
      <c r="I288" s="248"/>
      <c r="J288" s="248"/>
      <c r="K288" s="248"/>
      <c r="L288" s="248"/>
      <c r="M288" s="248"/>
      <c r="N288" s="248"/>
      <c r="O288" s="248"/>
      <c r="P288" s="248"/>
      <c r="Q288" s="248"/>
      <c r="R288" s="248"/>
      <c r="S288" s="248"/>
      <c r="T288" s="248"/>
      <c r="U288" s="248"/>
      <c r="V288" s="5"/>
    </row>
    <row r="289" spans="1:22" x14ac:dyDescent="0.35">
      <c r="A289" s="213"/>
      <c r="B289" s="258" t="s">
        <v>358</v>
      </c>
      <c r="C289" s="216"/>
      <c r="D289" s="216"/>
      <c r="E289" s="216"/>
      <c r="F289" s="249"/>
      <c r="G289" s="216"/>
      <c r="H289" s="216"/>
      <c r="I289" s="248"/>
      <c r="J289" s="248"/>
      <c r="K289" s="248"/>
      <c r="L289" s="248"/>
      <c r="M289" s="248"/>
      <c r="N289" s="248"/>
      <c r="O289" s="248"/>
      <c r="P289" s="248"/>
      <c r="Q289" s="248"/>
      <c r="R289" s="248"/>
      <c r="S289" s="248"/>
      <c r="T289" s="248"/>
      <c r="U289" s="248"/>
      <c r="V289" s="5"/>
    </row>
    <row r="290" spans="1:22" x14ac:dyDescent="0.35">
      <c r="A290" s="213"/>
      <c r="B290" s="258" t="s">
        <v>355</v>
      </c>
      <c r="C290" s="216"/>
      <c r="D290" s="216"/>
      <c r="E290" s="216"/>
      <c r="F290" s="249"/>
      <c r="G290" s="216"/>
      <c r="H290" s="216"/>
      <c r="I290" s="248"/>
      <c r="J290" s="248"/>
      <c r="K290" s="248"/>
      <c r="L290" s="248"/>
      <c r="M290" s="248"/>
      <c r="N290" s="248"/>
      <c r="O290" s="248"/>
      <c r="P290" s="248"/>
      <c r="Q290" s="248"/>
      <c r="R290" s="248"/>
      <c r="S290" s="248"/>
      <c r="T290" s="248"/>
      <c r="U290" s="248"/>
      <c r="V290" s="5"/>
    </row>
    <row r="291" spans="1:22" x14ac:dyDescent="0.35">
      <c r="A291" s="213"/>
      <c r="B291" s="258" t="s">
        <v>357</v>
      </c>
      <c r="C291" s="216"/>
      <c r="D291" s="216"/>
      <c r="E291" s="216"/>
      <c r="F291" s="249"/>
      <c r="G291" s="216"/>
      <c r="H291" s="216"/>
      <c r="I291" s="248"/>
      <c r="J291" s="248"/>
      <c r="K291" s="248"/>
      <c r="L291" s="248"/>
      <c r="M291" s="248"/>
      <c r="N291" s="248"/>
      <c r="O291" s="248"/>
      <c r="P291" s="248"/>
      <c r="Q291" s="248"/>
      <c r="R291" s="248"/>
      <c r="S291" s="248"/>
      <c r="T291" s="248"/>
      <c r="U291" s="248"/>
      <c r="V291" s="5"/>
    </row>
    <row r="292" spans="1:22" x14ac:dyDescent="0.35">
      <c r="A292" s="213"/>
      <c r="B292" s="258" t="s">
        <v>356</v>
      </c>
      <c r="C292" s="216"/>
      <c r="D292" s="216"/>
      <c r="E292" s="216"/>
      <c r="F292" s="249"/>
      <c r="G292" s="216"/>
      <c r="H292" s="216"/>
      <c r="I292" s="248"/>
      <c r="J292" s="248"/>
      <c r="K292" s="248"/>
      <c r="L292" s="248"/>
      <c r="M292" s="248"/>
      <c r="N292" s="248"/>
      <c r="O292" s="248"/>
      <c r="P292" s="248"/>
      <c r="Q292" s="248"/>
      <c r="R292" s="248"/>
      <c r="S292" s="248"/>
      <c r="T292" s="248"/>
      <c r="U292" s="248"/>
      <c r="V292" s="5"/>
    </row>
    <row r="293" spans="1:22" x14ac:dyDescent="0.35">
      <c r="A293" s="213"/>
      <c r="B293" s="258"/>
      <c r="C293" s="216"/>
      <c r="D293" s="216"/>
      <c r="E293" s="216"/>
      <c r="F293" s="249"/>
      <c r="G293" s="216"/>
      <c r="H293" s="216"/>
      <c r="I293" s="248"/>
      <c r="J293" s="248"/>
      <c r="K293" s="248"/>
      <c r="L293" s="248"/>
      <c r="M293" s="248"/>
      <c r="N293" s="248"/>
      <c r="O293" s="248"/>
      <c r="P293" s="248"/>
      <c r="Q293" s="248"/>
      <c r="R293" s="248"/>
      <c r="S293" s="248"/>
      <c r="T293" s="248"/>
      <c r="U293" s="248"/>
      <c r="V293" s="5"/>
    </row>
    <row r="294" spans="1:22" ht="17.5" x14ac:dyDescent="0.35">
      <c r="A294" s="213"/>
      <c r="B294" s="401" t="s">
        <v>359</v>
      </c>
      <c r="C294" s="216"/>
      <c r="D294" s="216"/>
      <c r="E294" s="216"/>
      <c r="F294" s="216"/>
      <c r="G294" s="250"/>
      <c r="H294" s="248"/>
      <c r="I294" s="248"/>
      <c r="J294" s="248"/>
      <c r="K294" s="248"/>
      <c r="L294" s="188"/>
      <c r="M294" s="188"/>
      <c r="N294" s="402"/>
      <c r="O294" s="188"/>
      <c r="P294" s="402" t="s">
        <v>177</v>
      </c>
      <c r="Q294" s="248"/>
      <c r="R294" s="248"/>
      <c r="S294" s="248"/>
      <c r="T294" s="248"/>
      <c r="U294" s="248"/>
      <c r="V294" s="5"/>
    </row>
    <row r="295" spans="1:22" x14ac:dyDescent="0.35">
      <c r="A295" s="213"/>
      <c r="B295" s="216"/>
      <c r="C295" s="216"/>
      <c r="D295" s="216"/>
      <c r="E295" s="216"/>
      <c r="F295" s="216"/>
      <c r="G295" s="250"/>
      <c r="H295" s="248"/>
      <c r="I295" s="248"/>
      <c r="J295" s="248"/>
      <c r="K295" s="248"/>
      <c r="L295" s="248"/>
      <c r="M295" s="248"/>
      <c r="N295" s="248"/>
      <c r="O295" s="248"/>
      <c r="P295" s="248"/>
      <c r="Q295" s="248"/>
      <c r="R295" s="248"/>
      <c r="S295" s="248"/>
      <c r="T295" s="248"/>
      <c r="U295" s="248"/>
      <c r="V295" s="5"/>
    </row>
    <row r="296" spans="1:22" ht="18" thickBot="1" x14ac:dyDescent="0.4">
      <c r="A296" s="213"/>
      <c r="B296" s="251" t="str">
        <f>B196</f>
        <v>PM10 INVESTOR REPORT QUARTER ENDING FEBRUARY 2017</v>
      </c>
      <c r="C296" s="216"/>
      <c r="D296" s="216"/>
      <c r="E296" s="216"/>
      <c r="F296" s="216"/>
      <c r="G296" s="250"/>
      <c r="H296" s="248"/>
      <c r="I296" s="248"/>
      <c r="J296" s="248"/>
      <c r="K296" s="248"/>
      <c r="L296" s="248"/>
      <c r="M296" s="248"/>
      <c r="N296" s="248"/>
      <c r="O296" s="248"/>
      <c r="P296" s="248"/>
      <c r="Q296" s="248"/>
      <c r="R296" s="248"/>
      <c r="S296" s="248"/>
      <c r="T296" s="248"/>
      <c r="U296" s="248"/>
      <c r="V296" s="5"/>
    </row>
    <row r="297" spans="1:22" x14ac:dyDescent="0.35">
      <c r="A297" s="100"/>
      <c r="B297" s="100"/>
      <c r="C297" s="100"/>
      <c r="D297" s="100"/>
      <c r="E297" s="100"/>
      <c r="F297" s="100"/>
      <c r="G297" s="100"/>
      <c r="H297" s="100"/>
      <c r="I297" s="100"/>
      <c r="J297" s="100"/>
      <c r="K297" s="100"/>
      <c r="L297" s="100"/>
      <c r="M297" s="100"/>
      <c r="N297" s="100"/>
      <c r="O297" s="100"/>
      <c r="P297" s="100"/>
      <c r="Q297" s="100"/>
      <c r="R297" s="100"/>
      <c r="S297" s="100"/>
      <c r="T297" s="100"/>
      <c r="U297" s="100"/>
    </row>
  </sheetData>
  <hyperlinks>
    <hyperlink ref="J9" r:id="rId1" xr:uid="{00000000-0004-0000-2C00-000000000000}"/>
    <hyperlink ref="N232" r:id="rId2" xr:uid="{00000000-0004-0000-2C00-000001000000}"/>
    <hyperlink ref="P294" r:id="rId3" xr:uid="{00000000-0004-0000-2C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89CB31"/>
  </sheetPr>
  <dimension ref="A1:Z297"/>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400"/>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0.68369999999999997</v>
      </c>
      <c r="R16" s="222" t="s">
        <v>147</v>
      </c>
      <c r="S16" s="221">
        <v>0.31630000000000003</v>
      </c>
      <c r="T16" s="184"/>
      <c r="U16" s="183"/>
      <c r="V16" s="5"/>
    </row>
    <row r="17" spans="1:22" x14ac:dyDescent="0.35">
      <c r="A17" s="174"/>
      <c r="B17" s="216" t="s">
        <v>4</v>
      </c>
      <c r="C17" s="183"/>
      <c r="D17" s="399"/>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399"/>
      <c r="E18" s="183"/>
      <c r="F18" s="183"/>
      <c r="G18" s="183"/>
      <c r="H18" s="183"/>
      <c r="I18" s="183"/>
      <c r="J18" s="183"/>
      <c r="K18" s="183"/>
      <c r="L18" s="183"/>
      <c r="M18" s="183"/>
      <c r="N18" s="183"/>
      <c r="O18" s="183"/>
      <c r="P18" s="183"/>
      <c r="Q18" s="183"/>
      <c r="R18" s="183"/>
      <c r="S18" s="183"/>
      <c r="T18" s="218">
        <v>42902</v>
      </c>
      <c r="U18" s="183"/>
      <c r="V18" s="5"/>
    </row>
    <row r="19" spans="1:22" x14ac:dyDescent="0.35">
      <c r="A19" s="174"/>
      <c r="B19" s="176"/>
      <c r="C19" s="176"/>
      <c r="D19" s="398"/>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148</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175</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150</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0">
        <f>D34*D38</f>
        <v>37508.244116000002</v>
      </c>
      <c r="E32" s="289"/>
      <c r="F32" s="290">
        <f>F31*F38</f>
        <v>105000</v>
      </c>
      <c r="G32" s="290"/>
      <c r="H32" s="295">
        <f>H31*H38</f>
        <v>222000</v>
      </c>
      <c r="I32" s="290"/>
      <c r="J32" s="290">
        <f>J31*J38</f>
        <v>23572.151999999998</v>
      </c>
      <c r="K32" s="290"/>
      <c r="L32" s="295">
        <f>L31*L38</f>
        <v>14827.643999999998</v>
      </c>
      <c r="M32" s="290"/>
      <c r="N32" s="296">
        <f>N31*N38</f>
        <v>39160.187999999995</v>
      </c>
      <c r="O32" s="290"/>
      <c r="P32" s="295">
        <f>P31*P38</f>
        <v>20910.78</v>
      </c>
      <c r="Q32" s="290"/>
      <c r="R32" s="290"/>
      <c r="S32" s="291"/>
      <c r="T32" s="290"/>
      <c r="U32" s="292"/>
      <c r="V32" s="5"/>
    </row>
    <row r="33" spans="1:26" x14ac:dyDescent="0.35">
      <c r="A33" s="278"/>
      <c r="B33" s="286" t="s">
        <v>141</v>
      </c>
      <c r="C33" s="289"/>
      <c r="D33" s="396">
        <f>D34*D37</f>
        <v>32341.208725600001</v>
      </c>
      <c r="E33" s="293"/>
      <c r="F33" s="297">
        <f>F37*F31</f>
        <v>105000</v>
      </c>
      <c r="G33" s="297"/>
      <c r="H33" s="300">
        <f>H31*H37</f>
        <v>222000</v>
      </c>
      <c r="I33" s="297"/>
      <c r="J33" s="297">
        <f>J31*J37</f>
        <v>23155.759999999998</v>
      </c>
      <c r="K33" s="297"/>
      <c r="L33" s="300">
        <f>L31*L37</f>
        <v>14565.72</v>
      </c>
      <c r="M33" s="297"/>
      <c r="N33" s="297">
        <f>N31*N37</f>
        <v>38468.439999999995</v>
      </c>
      <c r="O33" s="297"/>
      <c r="P33" s="300">
        <f>P31*P37</f>
        <v>20541.399999999998</v>
      </c>
      <c r="Q33" s="290"/>
      <c r="R33" s="290"/>
      <c r="S33" s="291"/>
      <c r="T33" s="290"/>
      <c r="U33" s="292"/>
      <c r="V33" s="5"/>
    </row>
    <row r="34" spans="1:26"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c r="X34" s="397"/>
      <c r="Z34" s="397"/>
    </row>
    <row r="35" spans="1:26" x14ac:dyDescent="0.35">
      <c r="A35" s="283"/>
      <c r="B35" s="279" t="s">
        <v>297</v>
      </c>
      <c r="C35" s="293"/>
      <c r="D35" s="290">
        <f>D34*D38</f>
        <v>37508.244116000002</v>
      </c>
      <c r="E35" s="289"/>
      <c r="F35" s="290">
        <f>F34*F38</f>
        <v>105000</v>
      </c>
      <c r="G35" s="290"/>
      <c r="H35" s="290">
        <f>H34*H38</f>
        <v>150000</v>
      </c>
      <c r="I35" s="290"/>
      <c r="J35" s="290">
        <f>J32</f>
        <v>23572.151999999998</v>
      </c>
      <c r="K35" s="290"/>
      <c r="L35" s="290">
        <f>L34*L38</f>
        <v>10018.924992</v>
      </c>
      <c r="M35" s="290"/>
      <c r="N35" s="290">
        <f>N32</f>
        <v>39160.187999999995</v>
      </c>
      <c r="O35" s="290"/>
      <c r="P35" s="290">
        <f>P34*P38</f>
        <v>14128.843751999999</v>
      </c>
      <c r="Q35" s="290"/>
      <c r="R35" s="290"/>
      <c r="S35" s="291"/>
      <c r="T35" s="290">
        <f>SUM(C35:P35)</f>
        <v>379388.35285999998</v>
      </c>
      <c r="U35" s="292"/>
      <c r="V35" s="5"/>
      <c r="X35" s="397"/>
      <c r="Z35" s="397"/>
    </row>
    <row r="36" spans="1:26" x14ac:dyDescent="0.35">
      <c r="A36" s="283"/>
      <c r="B36" s="286" t="s">
        <v>298</v>
      </c>
      <c r="C36" s="293"/>
      <c r="D36" s="297">
        <f>D37*D34</f>
        <v>32341.208725600001</v>
      </c>
      <c r="E36" s="293"/>
      <c r="F36" s="297">
        <f>F37*F34</f>
        <v>105000</v>
      </c>
      <c r="G36" s="297"/>
      <c r="H36" s="297">
        <f>H37*H34</f>
        <v>150000</v>
      </c>
      <c r="I36" s="297"/>
      <c r="J36" s="297">
        <f>J37*J34</f>
        <v>23155.759999999998</v>
      </c>
      <c r="K36" s="297"/>
      <c r="L36" s="297">
        <f>L37*L34</f>
        <v>9841.9449599999989</v>
      </c>
      <c r="M36" s="297"/>
      <c r="N36" s="297">
        <f>N37*N34</f>
        <v>38468.439999999995</v>
      </c>
      <c r="O36" s="297"/>
      <c r="P36" s="297">
        <f>P34*P37</f>
        <v>13879.26376</v>
      </c>
      <c r="Q36" s="322"/>
      <c r="R36" s="322"/>
      <c r="S36" s="291"/>
      <c r="T36" s="297">
        <f>SUM(C36:P36)</f>
        <v>372686.61744560004</v>
      </c>
      <c r="U36" s="292"/>
      <c r="V36" s="5"/>
      <c r="X36" s="397"/>
      <c r="Z36" s="397"/>
    </row>
    <row r="37" spans="1:26" x14ac:dyDescent="0.35">
      <c r="A37" s="305"/>
      <c r="B37" s="306" t="s">
        <v>137</v>
      </c>
      <c r="C37" s="307"/>
      <c r="D37" s="308">
        <v>5.1246100000000003E-2</v>
      </c>
      <c r="E37" s="309"/>
      <c r="F37" s="308">
        <v>1</v>
      </c>
      <c r="G37" s="308"/>
      <c r="H37" s="308">
        <v>1</v>
      </c>
      <c r="I37" s="308"/>
      <c r="J37" s="308">
        <v>0.74695999999999996</v>
      </c>
      <c r="K37" s="308"/>
      <c r="L37" s="308">
        <v>0.74695999999999996</v>
      </c>
      <c r="M37" s="308"/>
      <c r="N37" s="308">
        <v>0.74695999999999996</v>
      </c>
      <c r="O37" s="308"/>
      <c r="P37" s="308">
        <v>0.74695999999999996</v>
      </c>
      <c r="Q37" s="310"/>
      <c r="R37" s="310"/>
      <c r="S37" s="311"/>
      <c r="T37" s="311"/>
      <c r="U37" s="312"/>
      <c r="V37" s="5"/>
    </row>
    <row r="38" spans="1:26" x14ac:dyDescent="0.35">
      <c r="A38" s="305"/>
      <c r="B38" s="306" t="s">
        <v>138</v>
      </c>
      <c r="C38" s="307"/>
      <c r="D38" s="308">
        <v>5.94335E-2</v>
      </c>
      <c r="E38" s="309"/>
      <c r="F38" s="308">
        <v>1</v>
      </c>
      <c r="G38" s="308"/>
      <c r="H38" s="308">
        <v>1</v>
      </c>
      <c r="I38" s="308"/>
      <c r="J38" s="308">
        <v>0.76039199999999996</v>
      </c>
      <c r="K38" s="308"/>
      <c r="L38" s="308">
        <v>0.76039199999999996</v>
      </c>
      <c r="M38" s="308"/>
      <c r="N38" s="308">
        <v>0.76039199999999996</v>
      </c>
      <c r="O38" s="308"/>
      <c r="P38" s="308">
        <v>0.76039199999999996</v>
      </c>
      <c r="Q38" s="313"/>
      <c r="R38" s="314"/>
      <c r="S38" s="311"/>
      <c r="T38" s="313"/>
      <c r="U38" s="312"/>
      <c r="V38" s="5"/>
    </row>
    <row r="39" spans="1:26"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6" x14ac:dyDescent="0.35">
      <c r="A40" s="278"/>
      <c r="B40" s="279" t="s">
        <v>12</v>
      </c>
      <c r="C40" s="279"/>
      <c r="D40" s="316">
        <v>4.3388000000000003E-3</v>
      </c>
      <c r="E40" s="279"/>
      <c r="F40" s="316">
        <v>6.6388000000000003E-3</v>
      </c>
      <c r="G40" s="315"/>
      <c r="H40" s="316">
        <v>0</v>
      </c>
      <c r="I40" s="315"/>
      <c r="J40" s="316">
        <v>8.8388000000000008E-3</v>
      </c>
      <c r="K40" s="315"/>
      <c r="L40" s="316">
        <v>2.0999999999999999E-3</v>
      </c>
      <c r="M40" s="315"/>
      <c r="N40" s="316">
        <v>1.44388E-2</v>
      </c>
      <c r="O40" s="315"/>
      <c r="P40" s="316">
        <v>7.7000000000000002E-3</v>
      </c>
      <c r="Q40" s="315"/>
      <c r="R40" s="316"/>
      <c r="S40" s="281"/>
      <c r="T40" s="287"/>
      <c r="U40" s="282"/>
      <c r="V40" s="5"/>
    </row>
    <row r="41" spans="1:26" x14ac:dyDescent="0.35">
      <c r="A41" s="278"/>
      <c r="B41" s="279" t="s">
        <v>13</v>
      </c>
      <c r="C41" s="279"/>
      <c r="D41" s="316">
        <v>4.6312999999999997E-3</v>
      </c>
      <c r="E41" s="279"/>
      <c r="F41" s="316">
        <v>6.9312999999999996E-3</v>
      </c>
      <c r="G41" s="315"/>
      <c r="H41" s="316">
        <v>4.0000000000000003E-5</v>
      </c>
      <c r="I41" s="315"/>
      <c r="J41" s="316">
        <v>9.1313000000000002E-3</v>
      </c>
      <c r="K41" s="315"/>
      <c r="L41" s="316">
        <v>2.2399999999999998E-3</v>
      </c>
      <c r="M41" s="315"/>
      <c r="N41" s="316">
        <v>1.4731299999999999E-2</v>
      </c>
      <c r="O41" s="315"/>
      <c r="P41" s="316">
        <v>7.8399999999999997E-3</v>
      </c>
      <c r="Q41" s="315"/>
      <c r="R41" s="316"/>
      <c r="S41" s="281"/>
      <c r="T41" s="315" t="s">
        <v>226</v>
      </c>
      <c r="U41" s="282"/>
      <c r="V41" s="5"/>
    </row>
    <row r="42" spans="1:26" x14ac:dyDescent="0.35">
      <c r="A42" s="278"/>
      <c r="B42" s="279" t="s">
        <v>299</v>
      </c>
      <c r="C42" s="279"/>
      <c r="D42" s="287" t="s">
        <v>283</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6" x14ac:dyDescent="0.35">
      <c r="A43" s="278"/>
      <c r="B43" s="279" t="s">
        <v>300</v>
      </c>
      <c r="C43" s="317"/>
      <c r="D43" s="316">
        <f>+D40</f>
        <v>4.3388000000000003E-3</v>
      </c>
      <c r="E43" s="279"/>
      <c r="F43" s="316">
        <f>+F40</f>
        <v>6.6388000000000003E-3</v>
      </c>
      <c r="G43" s="315"/>
      <c r="H43" s="316">
        <v>7.0888000000000001E-3</v>
      </c>
      <c r="I43" s="315"/>
      <c r="J43" s="316">
        <f>+J40</f>
        <v>8.8388000000000008E-3</v>
      </c>
      <c r="K43" s="315"/>
      <c r="L43" s="316">
        <v>9.5688000000000006E-3</v>
      </c>
      <c r="M43" s="315"/>
      <c r="N43" s="316">
        <f>+N40</f>
        <v>1.44388E-2</v>
      </c>
      <c r="O43" s="315"/>
      <c r="P43" s="316">
        <v>1.56688E-2</v>
      </c>
      <c r="Q43" s="287"/>
      <c r="R43" s="287"/>
      <c r="S43" s="281"/>
      <c r="T43" s="315">
        <f>SUMPRODUCT(D43:P43,D35:P35)/T35</f>
        <v>7.9447919865888953E-3</v>
      </c>
      <c r="U43" s="282"/>
      <c r="V43" s="5"/>
    </row>
    <row r="44" spans="1:26" x14ac:dyDescent="0.35">
      <c r="A44" s="278"/>
      <c r="B44" s="279" t="s">
        <v>301</v>
      </c>
      <c r="C44" s="317"/>
      <c r="D44" s="316">
        <f>+D41</f>
        <v>4.6312999999999997E-3</v>
      </c>
      <c r="E44" s="279"/>
      <c r="F44" s="316">
        <f>+F41</f>
        <v>6.9312999999999996E-3</v>
      </c>
      <c r="G44" s="315"/>
      <c r="H44" s="316">
        <v>7.3813000000000004E-3</v>
      </c>
      <c r="I44" s="315"/>
      <c r="J44" s="316">
        <f>+J41</f>
        <v>9.1313000000000002E-3</v>
      </c>
      <c r="K44" s="315"/>
      <c r="L44" s="316">
        <v>9.8612999999999999E-3</v>
      </c>
      <c r="M44" s="315"/>
      <c r="N44" s="316">
        <f>+N41</f>
        <v>1.4731299999999999E-2</v>
      </c>
      <c r="O44" s="315"/>
      <c r="P44" s="316">
        <v>1.5961300000000001E-2</v>
      </c>
      <c r="Q44" s="287"/>
      <c r="R44" s="287"/>
      <c r="S44" s="281"/>
      <c r="T44" s="281"/>
      <c r="U44" s="282"/>
      <c r="V44" s="5"/>
    </row>
    <row r="45" spans="1:26"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6"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6"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6" x14ac:dyDescent="0.35">
      <c r="A48" s="278"/>
      <c r="B48" s="279" t="s">
        <v>302</v>
      </c>
      <c r="C48" s="279"/>
      <c r="D48" s="287" t="s">
        <v>125</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0.29701764358310895</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349</v>
      </c>
      <c r="C54" s="279"/>
      <c r="D54" s="279"/>
      <c r="E54" s="279"/>
      <c r="F54" s="279"/>
      <c r="G54" s="279"/>
      <c r="H54" s="279"/>
      <c r="I54" s="279"/>
      <c r="J54" s="279"/>
      <c r="K54" s="279"/>
      <c r="L54" s="279"/>
      <c r="M54" s="279"/>
      <c r="N54" s="279"/>
      <c r="O54" s="279"/>
      <c r="P54" s="279"/>
      <c r="Q54" s="279"/>
      <c r="R54" s="287"/>
      <c r="S54" s="287"/>
      <c r="T54" s="323" t="s">
        <v>118</v>
      </c>
      <c r="U54" s="282"/>
      <c r="V54" s="5"/>
    </row>
    <row r="55" spans="1:23" x14ac:dyDescent="0.35">
      <c r="A55" s="278"/>
      <c r="B55" s="286" t="s">
        <v>242</v>
      </c>
      <c r="C55" s="286"/>
      <c r="D55" s="286"/>
      <c r="E55" s="286"/>
      <c r="F55" s="286"/>
      <c r="G55" s="286"/>
      <c r="H55" s="286"/>
      <c r="I55" s="286"/>
      <c r="J55" s="286"/>
      <c r="K55" s="286"/>
      <c r="L55" s="286"/>
      <c r="M55" s="286"/>
      <c r="N55" s="286"/>
      <c r="O55" s="286"/>
      <c r="P55" s="286"/>
      <c r="Q55" s="286"/>
      <c r="R55" s="324"/>
      <c r="S55" s="324"/>
      <c r="T55" s="325">
        <v>42901</v>
      </c>
      <c r="U55" s="282"/>
      <c r="V55" s="5"/>
    </row>
    <row r="56" spans="1:23" x14ac:dyDescent="0.35">
      <c r="A56" s="278"/>
      <c r="B56" s="279" t="s">
        <v>128</v>
      </c>
      <c r="C56" s="279"/>
      <c r="D56" s="279"/>
      <c r="E56" s="279"/>
      <c r="F56" s="279"/>
      <c r="G56" s="279"/>
      <c r="H56" s="326"/>
      <c r="I56" s="326"/>
      <c r="J56" s="326"/>
      <c r="K56" s="326"/>
      <c r="L56" s="326"/>
      <c r="M56" s="326"/>
      <c r="N56" s="326"/>
      <c r="O56" s="326"/>
      <c r="P56" s="279">
        <f>+T56-R56+1</f>
        <v>90</v>
      </c>
      <c r="Q56" s="279"/>
      <c r="R56" s="327">
        <v>42719</v>
      </c>
      <c r="S56" s="328"/>
      <c r="T56" s="327">
        <v>42808</v>
      </c>
      <c r="U56" s="282"/>
      <c r="V56" s="5"/>
    </row>
    <row r="57" spans="1:23" x14ac:dyDescent="0.35">
      <c r="A57" s="278"/>
      <c r="B57" s="279" t="s">
        <v>129</v>
      </c>
      <c r="C57" s="279"/>
      <c r="D57" s="279"/>
      <c r="E57" s="279"/>
      <c r="F57" s="279"/>
      <c r="G57" s="279"/>
      <c r="H57" s="279"/>
      <c r="I57" s="279"/>
      <c r="J57" s="279"/>
      <c r="K57" s="279"/>
      <c r="L57" s="279"/>
      <c r="M57" s="279"/>
      <c r="N57" s="279"/>
      <c r="O57" s="279"/>
      <c r="P57" s="279">
        <f>+T57-R57+1</f>
        <v>92</v>
      </c>
      <c r="Q57" s="279"/>
      <c r="R57" s="327">
        <v>42809</v>
      </c>
      <c r="S57" s="328"/>
      <c r="T57" s="327">
        <v>42900</v>
      </c>
      <c r="U57" s="282"/>
      <c r="V57" s="5"/>
    </row>
    <row r="58" spans="1:23" x14ac:dyDescent="0.35">
      <c r="A58" s="278"/>
      <c r="B58" s="279" t="s">
        <v>351</v>
      </c>
      <c r="C58" s="279"/>
      <c r="D58" s="279"/>
      <c r="E58" s="279"/>
      <c r="F58" s="279"/>
      <c r="G58" s="279"/>
      <c r="H58" s="279"/>
      <c r="I58" s="279"/>
      <c r="J58" s="279"/>
      <c r="K58" s="279"/>
      <c r="L58" s="279"/>
      <c r="M58" s="279"/>
      <c r="N58" s="279"/>
      <c r="O58" s="279"/>
      <c r="P58" s="279"/>
      <c r="Q58" s="279"/>
      <c r="R58" s="327"/>
      <c r="S58" s="328"/>
      <c r="T58" s="327" t="s">
        <v>127</v>
      </c>
      <c r="U58" s="282"/>
      <c r="V58" s="5"/>
    </row>
    <row r="59" spans="1:23" x14ac:dyDescent="0.35">
      <c r="A59" s="278"/>
      <c r="B59" s="279" t="s">
        <v>350</v>
      </c>
      <c r="C59" s="279"/>
      <c r="D59" s="279"/>
      <c r="E59" s="279"/>
      <c r="F59" s="279"/>
      <c r="G59" s="279"/>
      <c r="H59" s="279"/>
      <c r="I59" s="279"/>
      <c r="J59" s="279"/>
      <c r="K59" s="279"/>
      <c r="L59" s="279"/>
      <c r="M59" s="279"/>
      <c r="N59" s="279"/>
      <c r="O59" s="279"/>
      <c r="P59" s="279"/>
      <c r="Q59" s="279"/>
      <c r="R59" s="327"/>
      <c r="S59" s="328"/>
      <c r="T59" s="327" t="s">
        <v>162</v>
      </c>
      <c r="U59" s="282"/>
      <c r="V59" s="5"/>
      <c r="W59" s="135"/>
    </row>
    <row r="60" spans="1:23" x14ac:dyDescent="0.35">
      <c r="A60" s="278"/>
      <c r="B60" s="279" t="s">
        <v>16</v>
      </c>
      <c r="C60" s="279"/>
      <c r="D60" s="279"/>
      <c r="E60" s="279"/>
      <c r="F60" s="279"/>
      <c r="G60" s="279"/>
      <c r="H60" s="279"/>
      <c r="I60" s="279"/>
      <c r="J60" s="279"/>
      <c r="K60" s="279"/>
      <c r="L60" s="279"/>
      <c r="M60" s="279"/>
      <c r="N60" s="279"/>
      <c r="O60" s="279"/>
      <c r="P60" s="279"/>
      <c r="Q60" s="279"/>
      <c r="R60" s="327"/>
      <c r="S60" s="328"/>
      <c r="T60" s="327">
        <v>42887</v>
      </c>
      <c r="U60" s="282"/>
      <c r="V60" s="5"/>
    </row>
    <row r="61" spans="1:23" x14ac:dyDescent="0.35">
      <c r="A61" s="228"/>
      <c r="B61" s="258"/>
      <c r="C61" s="258"/>
      <c r="D61" s="258"/>
      <c r="E61" s="258"/>
      <c r="F61" s="258"/>
      <c r="G61" s="258"/>
      <c r="H61" s="258"/>
      <c r="I61" s="258"/>
      <c r="J61" s="258"/>
      <c r="K61" s="258"/>
      <c r="L61" s="258"/>
      <c r="M61" s="258"/>
      <c r="N61" s="258"/>
      <c r="O61" s="258"/>
      <c r="P61" s="258"/>
      <c r="Q61" s="258"/>
      <c r="R61" s="276"/>
      <c r="S61" s="277"/>
      <c r="T61" s="276"/>
      <c r="U61" s="258"/>
      <c r="V61" s="5"/>
    </row>
    <row r="62" spans="1:23" x14ac:dyDescent="0.35">
      <c r="A62" s="228"/>
      <c r="B62" s="229"/>
      <c r="C62" s="229"/>
      <c r="D62" s="229"/>
      <c r="E62" s="229"/>
      <c r="F62" s="229"/>
      <c r="G62" s="229"/>
      <c r="H62" s="229"/>
      <c r="I62" s="229"/>
      <c r="J62" s="229"/>
      <c r="K62" s="229"/>
      <c r="L62" s="229"/>
      <c r="M62" s="229"/>
      <c r="N62" s="229"/>
      <c r="O62" s="229"/>
      <c r="P62" s="229"/>
      <c r="Q62" s="229"/>
      <c r="R62" s="230"/>
      <c r="S62" s="231"/>
      <c r="T62" s="230"/>
      <c r="U62" s="229"/>
      <c r="V62" s="5"/>
    </row>
    <row r="63" spans="1:23" ht="18" thickBot="1" x14ac:dyDescent="0.4">
      <c r="A63" s="232"/>
      <c r="B63" s="233" t="s">
        <v>352</v>
      </c>
      <c r="C63" s="234"/>
      <c r="D63" s="234"/>
      <c r="E63" s="234"/>
      <c r="F63" s="234"/>
      <c r="G63" s="234"/>
      <c r="H63" s="234"/>
      <c r="I63" s="234"/>
      <c r="J63" s="234"/>
      <c r="K63" s="234"/>
      <c r="L63" s="234"/>
      <c r="M63" s="234"/>
      <c r="N63" s="234"/>
      <c r="O63" s="234"/>
      <c r="P63" s="234"/>
      <c r="Q63" s="234"/>
      <c r="R63" s="234"/>
      <c r="S63" s="234"/>
      <c r="T63" s="235"/>
      <c r="U63" s="236"/>
      <c r="V63" s="5"/>
    </row>
    <row r="64" spans="1:23" x14ac:dyDescent="0.35">
      <c r="A64" s="252"/>
      <c r="B64" s="385" t="s">
        <v>17</v>
      </c>
      <c r="C64" s="253"/>
      <c r="D64" s="253"/>
      <c r="E64" s="253"/>
      <c r="F64" s="253"/>
      <c r="G64" s="253"/>
      <c r="H64" s="253"/>
      <c r="I64" s="253"/>
      <c r="J64" s="253"/>
      <c r="K64" s="253"/>
      <c r="L64" s="253"/>
      <c r="M64" s="253"/>
      <c r="N64" s="253"/>
      <c r="O64" s="253"/>
      <c r="P64" s="253"/>
      <c r="Q64" s="253"/>
      <c r="R64" s="253"/>
      <c r="S64" s="253"/>
      <c r="T64" s="259"/>
      <c r="U64" s="253"/>
      <c r="V64" s="5"/>
    </row>
    <row r="65" spans="1:22" x14ac:dyDescent="0.35">
      <c r="A65" s="174"/>
      <c r="B65" s="182"/>
      <c r="C65" s="176"/>
      <c r="D65" s="176"/>
      <c r="E65" s="176"/>
      <c r="F65" s="176"/>
      <c r="G65" s="176"/>
      <c r="H65" s="176"/>
      <c r="I65" s="176"/>
      <c r="J65" s="176"/>
      <c r="K65" s="176"/>
      <c r="L65" s="176"/>
      <c r="M65" s="176"/>
      <c r="N65" s="176"/>
      <c r="O65" s="176"/>
      <c r="P65" s="176"/>
      <c r="Q65" s="176"/>
      <c r="R65" s="176"/>
      <c r="S65" s="176"/>
      <c r="T65" s="193"/>
      <c r="U65" s="176"/>
      <c r="V65" s="5"/>
    </row>
    <row r="66" spans="1:22" ht="45" x14ac:dyDescent="0.35">
      <c r="A66" s="174"/>
      <c r="B66" s="194" t="s">
        <v>18</v>
      </c>
      <c r="C66" s="195"/>
      <c r="D66" s="195"/>
      <c r="E66" s="195"/>
      <c r="F66" s="195"/>
      <c r="G66" s="195"/>
      <c r="H66" s="195"/>
      <c r="I66" s="195"/>
      <c r="J66" s="195" t="s">
        <v>98</v>
      </c>
      <c r="K66" s="195"/>
      <c r="L66" s="195" t="s">
        <v>100</v>
      </c>
      <c r="M66" s="195"/>
      <c r="N66" s="195" t="s">
        <v>102</v>
      </c>
      <c r="O66" s="195"/>
      <c r="P66" s="195" t="s">
        <v>104</v>
      </c>
      <c r="Q66" s="195"/>
      <c r="R66" s="195" t="s">
        <v>111</v>
      </c>
      <c r="S66" s="195"/>
      <c r="T66" s="196" t="s">
        <v>119</v>
      </c>
      <c r="U66" s="197"/>
      <c r="V66" s="5"/>
    </row>
    <row r="67" spans="1:22" x14ac:dyDescent="0.35">
      <c r="A67" s="305"/>
      <c r="B67" s="279" t="s">
        <v>19</v>
      </c>
      <c r="C67" s="332"/>
      <c r="D67" s="332"/>
      <c r="E67" s="332"/>
      <c r="F67" s="332"/>
      <c r="G67" s="332"/>
      <c r="H67" s="332"/>
      <c r="I67" s="332"/>
      <c r="J67" s="332">
        <v>1000296</v>
      </c>
      <c r="K67" s="332"/>
      <c r="L67" s="333">
        <v>379388</v>
      </c>
      <c r="M67" s="332"/>
      <c r="N67" s="332">
        <f>6702+205-1</f>
        <v>6906</v>
      </c>
      <c r="O67" s="332"/>
      <c r="P67" s="332">
        <v>205</v>
      </c>
      <c r="Q67" s="332"/>
      <c r="R67" s="332">
        <v>0</v>
      </c>
      <c r="S67" s="332"/>
      <c r="T67" s="333">
        <f>+L67-N67+P67-R67</f>
        <v>372687</v>
      </c>
      <c r="U67" s="282"/>
      <c r="V67" s="5"/>
    </row>
    <row r="68" spans="1:22" x14ac:dyDescent="0.35">
      <c r="A68" s="305"/>
      <c r="B68" s="279" t="s">
        <v>20</v>
      </c>
      <c r="C68" s="332"/>
      <c r="D68" s="332"/>
      <c r="E68" s="332"/>
      <c r="F68" s="332"/>
      <c r="G68" s="332"/>
      <c r="H68" s="332"/>
      <c r="I68" s="332"/>
      <c r="J68" s="332">
        <v>54</v>
      </c>
      <c r="K68" s="332"/>
      <c r="L68" s="333">
        <v>0</v>
      </c>
      <c r="M68" s="332"/>
      <c r="N68" s="332">
        <v>0</v>
      </c>
      <c r="O68" s="332"/>
      <c r="P68" s="332">
        <v>0</v>
      </c>
      <c r="Q68" s="332"/>
      <c r="R68" s="332">
        <v>0</v>
      </c>
      <c r="S68" s="332"/>
      <c r="T68" s="333">
        <v>0</v>
      </c>
      <c r="U68" s="282"/>
      <c r="V68" s="5"/>
    </row>
    <row r="69" spans="1:22" x14ac:dyDescent="0.35">
      <c r="A69" s="305"/>
      <c r="B69" s="279"/>
      <c r="C69" s="332"/>
      <c r="D69" s="332"/>
      <c r="E69" s="332"/>
      <c r="F69" s="332"/>
      <c r="G69" s="332"/>
      <c r="H69" s="332"/>
      <c r="I69" s="332"/>
      <c r="J69" s="332"/>
      <c r="K69" s="332"/>
      <c r="L69" s="333"/>
      <c r="M69" s="332"/>
      <c r="N69" s="332"/>
      <c r="O69" s="332"/>
      <c r="P69" s="332"/>
      <c r="Q69" s="332"/>
      <c r="R69" s="332"/>
      <c r="S69" s="332"/>
      <c r="T69" s="333"/>
      <c r="U69" s="282"/>
      <c r="V69" s="5"/>
    </row>
    <row r="70" spans="1:22" x14ac:dyDescent="0.35">
      <c r="A70" s="305"/>
      <c r="B70" s="279" t="s">
        <v>21</v>
      </c>
      <c r="C70" s="332"/>
      <c r="D70" s="332"/>
      <c r="E70" s="332"/>
      <c r="F70" s="332"/>
      <c r="G70" s="332"/>
      <c r="H70" s="332"/>
      <c r="I70" s="332"/>
      <c r="J70" s="332">
        <f>SUM(J67:J69)</f>
        <v>1000350</v>
      </c>
      <c r="K70" s="332"/>
      <c r="L70" s="332">
        <f>L67+L68</f>
        <v>379388</v>
      </c>
      <c r="M70" s="332"/>
      <c r="N70" s="332">
        <f>SUM(N67:N69)</f>
        <v>6906</v>
      </c>
      <c r="O70" s="332"/>
      <c r="P70" s="332">
        <f>SUM(P67:P69)</f>
        <v>205</v>
      </c>
      <c r="Q70" s="332"/>
      <c r="R70" s="332">
        <f>SUM(R67:R69)</f>
        <v>0</v>
      </c>
      <c r="S70" s="332"/>
      <c r="T70" s="332">
        <f>SUM(T67:T69)</f>
        <v>372687</v>
      </c>
      <c r="U70" s="282"/>
      <c r="V70" s="5"/>
    </row>
    <row r="71" spans="1:22" x14ac:dyDescent="0.35">
      <c r="A71" s="174"/>
      <c r="B71" s="329"/>
      <c r="C71" s="330"/>
      <c r="D71" s="330"/>
      <c r="E71" s="330"/>
      <c r="F71" s="330"/>
      <c r="G71" s="330"/>
      <c r="H71" s="330"/>
      <c r="I71" s="330"/>
      <c r="J71" s="330"/>
      <c r="K71" s="330"/>
      <c r="L71" s="330"/>
      <c r="M71" s="330"/>
      <c r="N71" s="330"/>
      <c r="O71" s="330"/>
      <c r="P71" s="330"/>
      <c r="Q71" s="330"/>
      <c r="R71" s="330"/>
      <c r="S71" s="330"/>
      <c r="T71" s="331"/>
      <c r="U71" s="329"/>
      <c r="V71" s="5"/>
    </row>
    <row r="72" spans="1:22" x14ac:dyDescent="0.35">
      <c r="A72" s="174"/>
      <c r="B72" s="178" t="s">
        <v>22</v>
      </c>
      <c r="C72" s="198"/>
      <c r="D72" s="198"/>
      <c r="E72" s="198"/>
      <c r="F72" s="198"/>
      <c r="G72" s="198"/>
      <c r="H72" s="198"/>
      <c r="I72" s="198"/>
      <c r="J72" s="198"/>
      <c r="K72" s="198"/>
      <c r="L72" s="198"/>
      <c r="M72" s="198"/>
      <c r="N72" s="198"/>
      <c r="O72" s="198"/>
      <c r="P72" s="198"/>
      <c r="Q72" s="198"/>
      <c r="R72" s="198"/>
      <c r="S72" s="198"/>
      <c r="T72" s="199"/>
      <c r="U72" s="176"/>
      <c r="V72" s="5"/>
    </row>
    <row r="73" spans="1:22" x14ac:dyDescent="0.35">
      <c r="A73" s="174"/>
      <c r="B73" s="176"/>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278"/>
      <c r="B74" s="279" t="s">
        <v>19</v>
      </c>
      <c r="C74" s="332"/>
      <c r="D74" s="332"/>
      <c r="E74" s="332"/>
      <c r="F74" s="332"/>
      <c r="G74" s="332"/>
      <c r="H74" s="332"/>
      <c r="I74" s="332"/>
      <c r="J74" s="332"/>
      <c r="K74" s="332"/>
      <c r="L74" s="332"/>
      <c r="M74" s="332"/>
      <c r="N74" s="332"/>
      <c r="O74" s="332"/>
      <c r="P74" s="332"/>
      <c r="Q74" s="332"/>
      <c r="R74" s="332"/>
      <c r="S74" s="332"/>
      <c r="T74" s="332"/>
      <c r="U74" s="282"/>
      <c r="V74" s="5"/>
    </row>
    <row r="75" spans="1:22" x14ac:dyDescent="0.35">
      <c r="A75" s="278"/>
      <c r="B75" s="279" t="s">
        <v>20</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t="s">
        <v>21</v>
      </c>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t="s">
        <v>23</v>
      </c>
      <c r="C79" s="332"/>
      <c r="D79" s="332"/>
      <c r="E79" s="332"/>
      <c r="F79" s="332"/>
      <c r="G79" s="332"/>
      <c r="H79" s="332"/>
      <c r="I79" s="332"/>
      <c r="J79" s="332">
        <v>0</v>
      </c>
      <c r="K79" s="332"/>
      <c r="L79" s="332">
        <v>0</v>
      </c>
      <c r="M79" s="332"/>
      <c r="N79" s="332"/>
      <c r="O79" s="332"/>
      <c r="P79" s="332"/>
      <c r="Q79" s="332"/>
      <c r="R79" s="332"/>
      <c r="S79" s="332"/>
      <c r="T79" s="333">
        <v>0</v>
      </c>
      <c r="U79" s="282"/>
      <c r="V79" s="5"/>
    </row>
    <row r="80" spans="1:22" x14ac:dyDescent="0.35">
      <c r="A80" s="278"/>
      <c r="B80" s="279" t="s">
        <v>124</v>
      </c>
      <c r="C80" s="332"/>
      <c r="D80" s="332"/>
      <c r="E80" s="332"/>
      <c r="F80" s="332"/>
      <c r="G80" s="332"/>
      <c r="H80" s="332"/>
      <c r="I80" s="332"/>
      <c r="J80" s="332">
        <v>0</v>
      </c>
      <c r="K80" s="332"/>
      <c r="L80" s="332">
        <v>0</v>
      </c>
      <c r="M80" s="332"/>
      <c r="N80" s="332"/>
      <c r="O80" s="332"/>
      <c r="P80" s="332"/>
      <c r="Q80" s="332"/>
      <c r="R80" s="332"/>
      <c r="S80" s="332"/>
      <c r="T80" s="332">
        <f>SUM(J80:P80)</f>
        <v>0</v>
      </c>
      <c r="U80" s="282"/>
      <c r="V80" s="5"/>
    </row>
    <row r="81" spans="1:22" x14ac:dyDescent="0.35">
      <c r="A81" s="278"/>
      <c r="B81" s="279" t="s">
        <v>153</v>
      </c>
      <c r="C81" s="332"/>
      <c r="D81" s="332"/>
      <c r="E81" s="332"/>
      <c r="F81" s="332"/>
      <c r="G81" s="332"/>
      <c r="H81" s="332"/>
      <c r="I81" s="332"/>
      <c r="J81" s="332">
        <v>3</v>
      </c>
      <c r="K81" s="332"/>
      <c r="L81" s="332">
        <v>0</v>
      </c>
      <c r="M81" s="332"/>
      <c r="N81" s="332"/>
      <c r="O81" s="332"/>
      <c r="P81" s="332"/>
      <c r="Q81" s="332"/>
      <c r="R81" s="332"/>
      <c r="S81" s="332"/>
      <c r="T81" s="332">
        <f>+L81+N81</f>
        <v>0</v>
      </c>
      <c r="U81" s="282"/>
      <c r="V81" s="5"/>
    </row>
    <row r="82" spans="1:22" x14ac:dyDescent="0.35">
      <c r="A82" s="278"/>
      <c r="B82" s="279" t="s">
        <v>25</v>
      </c>
      <c r="C82" s="332"/>
      <c r="D82" s="332"/>
      <c r="E82" s="332"/>
      <c r="F82" s="332"/>
      <c r="G82" s="332"/>
      <c r="H82" s="332"/>
      <c r="I82" s="332"/>
      <c r="J82" s="332">
        <v>0</v>
      </c>
      <c r="K82" s="332"/>
      <c r="L82" s="332">
        <v>0</v>
      </c>
      <c r="M82" s="332"/>
      <c r="N82" s="332"/>
      <c r="O82" s="332"/>
      <c r="P82" s="332"/>
      <c r="Q82" s="332"/>
      <c r="R82" s="332"/>
      <c r="S82" s="332"/>
      <c r="T82" s="332">
        <v>0</v>
      </c>
      <c r="U82" s="282"/>
      <c r="V82" s="5"/>
    </row>
    <row r="83" spans="1:22" x14ac:dyDescent="0.35">
      <c r="A83" s="278"/>
      <c r="B83" s="279" t="s">
        <v>26</v>
      </c>
      <c r="C83" s="332"/>
      <c r="D83" s="332"/>
      <c r="E83" s="332"/>
      <c r="F83" s="332"/>
      <c r="G83" s="332"/>
      <c r="H83" s="332"/>
      <c r="I83" s="332"/>
      <c r="J83" s="332">
        <f>SUM(J70:J82)</f>
        <v>1000353</v>
      </c>
      <c r="K83" s="332"/>
      <c r="L83" s="332">
        <f>SUM(L70:L82)</f>
        <v>379388</v>
      </c>
      <c r="M83" s="332"/>
      <c r="N83" s="332"/>
      <c r="O83" s="332"/>
      <c r="P83" s="332"/>
      <c r="Q83" s="332"/>
      <c r="R83" s="332"/>
      <c r="S83" s="332"/>
      <c r="T83" s="332">
        <f>SUM(T70:T82)</f>
        <v>372687</v>
      </c>
      <c r="U83" s="282"/>
      <c r="V83" s="5"/>
    </row>
    <row r="84" spans="1:22" x14ac:dyDescent="0.35">
      <c r="A84" s="174"/>
      <c r="B84" s="329"/>
      <c r="C84" s="330"/>
      <c r="D84" s="330"/>
      <c r="E84" s="330"/>
      <c r="F84" s="330"/>
      <c r="G84" s="330"/>
      <c r="H84" s="330"/>
      <c r="I84" s="330"/>
      <c r="J84" s="330"/>
      <c r="K84" s="330"/>
      <c r="L84" s="330"/>
      <c r="M84" s="330"/>
      <c r="N84" s="330"/>
      <c r="O84" s="330"/>
      <c r="P84" s="330"/>
      <c r="Q84" s="330"/>
      <c r="R84" s="330"/>
      <c r="S84" s="330"/>
      <c r="T84" s="331"/>
      <c r="U84" s="329"/>
      <c r="V84" s="5"/>
    </row>
    <row r="85" spans="1:22" x14ac:dyDescent="0.35">
      <c r="A85" s="174"/>
      <c r="B85" s="176"/>
      <c r="C85" s="176"/>
      <c r="D85" s="176"/>
      <c r="E85" s="176"/>
      <c r="F85" s="176"/>
      <c r="G85" s="176"/>
      <c r="H85" s="176"/>
      <c r="I85" s="176"/>
      <c r="J85" s="176"/>
      <c r="K85" s="176"/>
      <c r="L85" s="176"/>
      <c r="M85" s="176"/>
      <c r="N85" s="176"/>
      <c r="O85" s="176"/>
      <c r="P85" s="176"/>
      <c r="Q85" s="176"/>
      <c r="R85" s="176"/>
      <c r="S85" s="176"/>
      <c r="T85" s="176"/>
      <c r="U85" s="176"/>
      <c r="V85" s="5"/>
    </row>
    <row r="86" spans="1:22" x14ac:dyDescent="0.35">
      <c r="A86" s="252"/>
      <c r="B86" s="385" t="s">
        <v>27</v>
      </c>
      <c r="C86" s="385"/>
      <c r="D86" s="385"/>
      <c r="E86" s="385"/>
      <c r="F86" s="385"/>
      <c r="G86" s="385"/>
      <c r="H86" s="386"/>
      <c r="I86" s="386"/>
      <c r="J86" s="387" t="s">
        <v>99</v>
      </c>
      <c r="K86" s="386"/>
      <c r="L86" s="388">
        <f>+R197</f>
        <v>42886</v>
      </c>
      <c r="M86" s="386"/>
      <c r="N86" s="386"/>
      <c r="O86" s="386"/>
      <c r="P86" s="386"/>
      <c r="Q86" s="386"/>
      <c r="R86" s="386" t="s">
        <v>112</v>
      </c>
      <c r="S86" s="386"/>
      <c r="T86" s="386" t="s">
        <v>120</v>
      </c>
      <c r="U86" s="253"/>
      <c r="V86" s="5"/>
    </row>
    <row r="87" spans="1:22" x14ac:dyDescent="0.35">
      <c r="A87" s="305"/>
      <c r="B87" s="279" t="s">
        <v>28</v>
      </c>
      <c r="C87" s="279"/>
      <c r="D87" s="279"/>
      <c r="E87" s="279"/>
      <c r="F87" s="279"/>
      <c r="G87" s="279"/>
      <c r="H87" s="279"/>
      <c r="I87" s="279"/>
      <c r="J87" s="279"/>
      <c r="K87" s="279"/>
      <c r="L87" s="279"/>
      <c r="M87" s="279"/>
      <c r="N87" s="279"/>
      <c r="O87" s="279"/>
      <c r="P87" s="279"/>
      <c r="Q87" s="279"/>
      <c r="R87" s="332">
        <v>0</v>
      </c>
      <c r="S87" s="279"/>
      <c r="T87" s="333">
        <v>0</v>
      </c>
      <c r="U87" s="282"/>
      <c r="V87" s="5"/>
    </row>
    <row r="88" spans="1:22" x14ac:dyDescent="0.35">
      <c r="A88" s="305"/>
      <c r="B88" s="279" t="s">
        <v>29</v>
      </c>
      <c r="C88" s="279"/>
      <c r="D88" s="279"/>
      <c r="E88" s="279"/>
      <c r="F88" s="279"/>
      <c r="G88" s="279"/>
      <c r="H88" s="319"/>
      <c r="I88" s="335"/>
      <c r="J88" s="319"/>
      <c r="K88" s="279"/>
      <c r="L88" s="336"/>
      <c r="M88" s="279"/>
      <c r="N88" s="279"/>
      <c r="O88" s="279"/>
      <c r="P88" s="279"/>
      <c r="Q88" s="279"/>
      <c r="R88" s="332">
        <f>6906-135</f>
        <v>6771</v>
      </c>
      <c r="S88" s="279"/>
      <c r="T88" s="333"/>
      <c r="U88" s="282"/>
      <c r="V88" s="5"/>
    </row>
    <row r="89" spans="1:22" x14ac:dyDescent="0.35">
      <c r="A89" s="305"/>
      <c r="B89" s="279" t="s">
        <v>259</v>
      </c>
      <c r="C89" s="279"/>
      <c r="D89" s="279"/>
      <c r="E89" s="279"/>
      <c r="F89" s="279"/>
      <c r="G89" s="279"/>
      <c r="H89" s="319"/>
      <c r="I89" s="335"/>
      <c r="J89" s="319"/>
      <c r="K89" s="279"/>
      <c r="L89" s="336"/>
      <c r="M89" s="279"/>
      <c r="N89" s="279"/>
      <c r="O89" s="279"/>
      <c r="P89" s="279"/>
      <c r="Q89" s="279"/>
      <c r="R89" s="332"/>
      <c r="S89" s="279"/>
      <c r="T89" s="333">
        <f>1726+1008-378-250</f>
        <v>2106</v>
      </c>
      <c r="U89" s="282"/>
      <c r="V89" s="5"/>
    </row>
    <row r="90" spans="1:22" x14ac:dyDescent="0.35">
      <c r="A90" s="305"/>
      <c r="B90" s="279" t="s">
        <v>254</v>
      </c>
      <c r="C90" s="279"/>
      <c r="D90" s="279"/>
      <c r="E90" s="279"/>
      <c r="F90" s="279"/>
      <c r="G90" s="279"/>
      <c r="H90" s="319"/>
      <c r="I90" s="335"/>
      <c r="J90" s="319"/>
      <c r="K90" s="279"/>
      <c r="L90" s="336"/>
      <c r="M90" s="279"/>
      <c r="N90" s="279"/>
      <c r="O90" s="279"/>
      <c r="P90" s="279"/>
      <c r="Q90" s="279"/>
      <c r="R90" s="332"/>
      <c r="S90" s="279"/>
      <c r="T90" s="333">
        <f>70+31</f>
        <v>101</v>
      </c>
      <c r="U90" s="282"/>
      <c r="V90" s="5"/>
    </row>
    <row r="91" spans="1:22" x14ac:dyDescent="0.35">
      <c r="A91" s="305"/>
      <c r="B91" s="279" t="s">
        <v>255</v>
      </c>
      <c r="C91" s="279"/>
      <c r="D91" s="279"/>
      <c r="E91" s="279"/>
      <c r="F91" s="279"/>
      <c r="G91" s="279"/>
      <c r="H91" s="319"/>
      <c r="I91" s="335"/>
      <c r="J91" s="319"/>
      <c r="K91" s="279"/>
      <c r="L91" s="336"/>
      <c r="M91" s="279"/>
      <c r="N91" s="279"/>
      <c r="O91" s="279"/>
      <c r="P91" s="279"/>
      <c r="Q91" s="279"/>
      <c r="R91" s="332"/>
      <c r="S91" s="279"/>
      <c r="T91" s="333">
        <v>17</v>
      </c>
      <c r="U91" s="282"/>
      <c r="V91" s="5"/>
    </row>
    <row r="92" spans="1:22" x14ac:dyDescent="0.35">
      <c r="A92" s="305"/>
      <c r="B92" s="279" t="s">
        <v>273</v>
      </c>
      <c r="C92" s="279"/>
      <c r="D92" s="279"/>
      <c r="E92" s="279"/>
      <c r="F92" s="279"/>
      <c r="G92" s="279"/>
      <c r="H92" s="319"/>
      <c r="I92" s="335"/>
      <c r="J92" s="319"/>
      <c r="K92" s="279"/>
      <c r="L92" s="336"/>
      <c r="M92" s="279"/>
      <c r="N92" s="279"/>
      <c r="O92" s="279"/>
      <c r="P92" s="279"/>
      <c r="Q92" s="279"/>
      <c r="R92" s="332"/>
      <c r="S92" s="279"/>
      <c r="T92" s="333">
        <v>0</v>
      </c>
      <c r="U92" s="282"/>
      <c r="V92" s="5"/>
    </row>
    <row r="93" spans="1:22" x14ac:dyDescent="0.35">
      <c r="A93" s="305"/>
      <c r="B93" s="279" t="s">
        <v>142</v>
      </c>
      <c r="C93" s="279"/>
      <c r="D93" s="279"/>
      <c r="E93" s="279"/>
      <c r="F93" s="279"/>
      <c r="G93" s="279"/>
      <c r="H93" s="279"/>
      <c r="I93" s="279"/>
      <c r="J93" s="279"/>
      <c r="K93" s="279"/>
      <c r="L93" s="279"/>
      <c r="M93" s="279"/>
      <c r="N93" s="279"/>
      <c r="O93" s="279"/>
      <c r="P93" s="279"/>
      <c r="Q93" s="279"/>
      <c r="R93" s="332"/>
      <c r="S93" s="279"/>
      <c r="T93" s="333">
        <v>0</v>
      </c>
      <c r="U93" s="282"/>
      <c r="V93" s="5"/>
    </row>
    <row r="94" spans="1:22" x14ac:dyDescent="0.35">
      <c r="A94" s="305"/>
      <c r="B94" s="279" t="s">
        <v>234</v>
      </c>
      <c r="C94" s="279"/>
      <c r="D94" s="279"/>
      <c r="E94" s="279"/>
      <c r="F94" s="279"/>
      <c r="G94" s="279"/>
      <c r="H94" s="279"/>
      <c r="I94" s="279"/>
      <c r="J94" s="279"/>
      <c r="K94" s="279"/>
      <c r="L94" s="279"/>
      <c r="M94" s="279"/>
      <c r="N94" s="279"/>
      <c r="O94" s="279"/>
      <c r="P94" s="279"/>
      <c r="Q94" s="279"/>
      <c r="R94" s="332"/>
      <c r="S94" s="279"/>
      <c r="T94" s="333">
        <v>133</v>
      </c>
      <c r="U94" s="282"/>
      <c r="V94" s="5"/>
    </row>
    <row r="95" spans="1:22" x14ac:dyDescent="0.35">
      <c r="A95" s="305"/>
      <c r="B95" s="279" t="s">
        <v>30</v>
      </c>
      <c r="C95" s="279"/>
      <c r="D95" s="279"/>
      <c r="E95" s="279"/>
      <c r="F95" s="279"/>
      <c r="G95" s="279"/>
      <c r="H95" s="279"/>
      <c r="I95" s="279"/>
      <c r="J95" s="279"/>
      <c r="K95" s="279"/>
      <c r="L95" s="279"/>
      <c r="M95" s="279"/>
      <c r="N95" s="279"/>
      <c r="O95" s="279"/>
      <c r="P95" s="279"/>
      <c r="Q95" s="279"/>
      <c r="R95" s="332">
        <f>SUM(R87:R94)</f>
        <v>6771</v>
      </c>
      <c r="S95" s="279"/>
      <c r="T95" s="332">
        <f>SUM(T87:T94)</f>
        <v>2357</v>
      </c>
      <c r="U95" s="282"/>
      <c r="V95" s="5"/>
    </row>
    <row r="96" spans="1:22" x14ac:dyDescent="0.35">
      <c r="A96" s="305"/>
      <c r="B96" s="279" t="s">
        <v>170</v>
      </c>
      <c r="C96" s="279"/>
      <c r="D96" s="279"/>
      <c r="E96" s="279"/>
      <c r="F96" s="279"/>
      <c r="G96" s="279"/>
      <c r="H96" s="279"/>
      <c r="I96" s="279"/>
      <c r="J96" s="279"/>
      <c r="K96" s="279"/>
      <c r="L96" s="279"/>
      <c r="M96" s="279"/>
      <c r="N96" s="279"/>
      <c r="O96" s="279"/>
      <c r="P96" s="279"/>
      <c r="Q96" s="279"/>
      <c r="R96" s="332">
        <f>-T96</f>
        <v>0</v>
      </c>
      <c r="S96" s="279"/>
      <c r="T96" s="332">
        <v>0</v>
      </c>
      <c r="U96" s="282"/>
      <c r="V96" s="5"/>
    </row>
    <row r="97" spans="1:23" x14ac:dyDescent="0.35">
      <c r="A97" s="305"/>
      <c r="B97" s="279" t="s">
        <v>31</v>
      </c>
      <c r="C97" s="279"/>
      <c r="D97" s="279"/>
      <c r="E97" s="279"/>
      <c r="F97" s="279"/>
      <c r="G97" s="279"/>
      <c r="H97" s="279"/>
      <c r="I97" s="279"/>
      <c r="J97" s="279"/>
      <c r="K97" s="279"/>
      <c r="L97" s="279"/>
      <c r="M97" s="279"/>
      <c r="N97" s="279"/>
      <c r="O97" s="279"/>
      <c r="P97" s="279"/>
      <c r="Q97" s="279"/>
      <c r="R97" s="332">
        <f>-T97</f>
        <v>0</v>
      </c>
      <c r="S97" s="279"/>
      <c r="T97" s="333">
        <v>0</v>
      </c>
      <c r="U97" s="282"/>
      <c r="V97" s="5"/>
    </row>
    <row r="98" spans="1:23" x14ac:dyDescent="0.35">
      <c r="A98" s="305"/>
      <c r="B98" s="279" t="s">
        <v>285</v>
      </c>
      <c r="C98" s="279"/>
      <c r="D98" s="279"/>
      <c r="E98" s="279"/>
      <c r="F98" s="279"/>
      <c r="G98" s="279"/>
      <c r="H98" s="279"/>
      <c r="I98" s="279"/>
      <c r="J98" s="279"/>
      <c r="K98" s="279"/>
      <c r="L98" s="279"/>
      <c r="M98" s="279"/>
      <c r="N98" s="279"/>
      <c r="O98" s="279"/>
      <c r="P98" s="279"/>
      <c r="Q98" s="279"/>
      <c r="R98" s="332"/>
      <c r="S98" s="279"/>
      <c r="T98" s="333">
        <v>7</v>
      </c>
      <c r="U98" s="282"/>
      <c r="V98" s="5"/>
    </row>
    <row r="99" spans="1:23" x14ac:dyDescent="0.35">
      <c r="A99" s="305"/>
      <c r="B99" s="279" t="s">
        <v>32</v>
      </c>
      <c r="C99" s="279"/>
      <c r="D99" s="279"/>
      <c r="E99" s="279"/>
      <c r="F99" s="279"/>
      <c r="G99" s="279"/>
      <c r="H99" s="279"/>
      <c r="I99" s="279"/>
      <c r="J99" s="279"/>
      <c r="K99" s="279"/>
      <c r="L99" s="279"/>
      <c r="M99" s="279"/>
      <c r="N99" s="279"/>
      <c r="O99" s="279"/>
      <c r="P99" s="279"/>
      <c r="Q99" s="279"/>
      <c r="R99" s="332">
        <f>R95+R97+R96</f>
        <v>6771</v>
      </c>
      <c r="S99" s="279"/>
      <c r="T99" s="332">
        <f>T95+T97+T96+T98</f>
        <v>2364</v>
      </c>
      <c r="U99" s="282"/>
      <c r="V99" s="5"/>
    </row>
    <row r="100" spans="1:23" x14ac:dyDescent="0.35">
      <c r="A100" s="305"/>
      <c r="B100" s="337" t="s">
        <v>33</v>
      </c>
      <c r="C100" s="307"/>
      <c r="D100" s="307"/>
      <c r="E100" s="307"/>
      <c r="F100" s="307"/>
      <c r="G100" s="307"/>
      <c r="H100" s="307"/>
      <c r="I100" s="307"/>
      <c r="J100" s="307"/>
      <c r="K100" s="307"/>
      <c r="L100" s="307"/>
      <c r="M100" s="307"/>
      <c r="N100" s="307"/>
      <c r="O100" s="307"/>
      <c r="P100" s="307"/>
      <c r="Q100" s="307"/>
      <c r="R100" s="338"/>
      <c r="S100" s="307"/>
      <c r="T100" s="339"/>
      <c r="U100" s="312"/>
      <c r="V100" s="5"/>
    </row>
    <row r="101" spans="1:23" x14ac:dyDescent="0.35">
      <c r="A101" s="278">
        <v>1</v>
      </c>
      <c r="B101" s="279" t="s">
        <v>34</v>
      </c>
      <c r="C101" s="279"/>
      <c r="D101" s="279"/>
      <c r="E101" s="279"/>
      <c r="F101" s="279"/>
      <c r="G101" s="279"/>
      <c r="H101" s="279"/>
      <c r="I101" s="279"/>
      <c r="J101" s="279"/>
      <c r="K101" s="279"/>
      <c r="L101" s="279"/>
      <c r="M101" s="279"/>
      <c r="N101" s="279"/>
      <c r="O101" s="279"/>
      <c r="P101" s="279"/>
      <c r="Q101" s="279"/>
      <c r="R101" s="279"/>
      <c r="S101" s="279"/>
      <c r="T101" s="333">
        <v>0</v>
      </c>
      <c r="U101" s="282"/>
      <c r="V101" s="5"/>
    </row>
    <row r="102" spans="1:23" x14ac:dyDescent="0.35">
      <c r="A102" s="278">
        <f>+A101+1</f>
        <v>2</v>
      </c>
      <c r="B102" s="394" t="s">
        <v>325</v>
      </c>
      <c r="C102" s="279"/>
      <c r="D102" s="279"/>
      <c r="E102" s="279"/>
      <c r="F102" s="279"/>
      <c r="G102" s="279"/>
      <c r="H102" s="279"/>
      <c r="I102" s="279"/>
      <c r="J102" s="279"/>
      <c r="K102" s="279"/>
      <c r="L102" s="279"/>
      <c r="M102" s="279"/>
      <c r="N102" s="279"/>
      <c r="O102" s="279"/>
      <c r="P102" s="279"/>
      <c r="Q102" s="279"/>
      <c r="R102" s="279"/>
      <c r="S102" s="279"/>
      <c r="T102" s="333">
        <v>-2</v>
      </c>
      <c r="U102" s="282"/>
      <c r="V102" s="5"/>
    </row>
    <row r="103" spans="1:23" x14ac:dyDescent="0.35">
      <c r="A103" s="278">
        <f>+A102+1</f>
        <v>3</v>
      </c>
      <c r="B103" s="394" t="s">
        <v>327</v>
      </c>
      <c r="C103" s="279"/>
      <c r="D103" s="279"/>
      <c r="E103" s="279"/>
      <c r="F103" s="279"/>
      <c r="G103" s="279"/>
      <c r="H103" s="279"/>
      <c r="I103" s="279"/>
      <c r="J103" s="279"/>
      <c r="K103" s="279"/>
      <c r="L103" s="279"/>
      <c r="M103" s="279"/>
      <c r="N103" s="279"/>
      <c r="O103" s="279"/>
      <c r="P103" s="279"/>
      <c r="Q103" s="279"/>
      <c r="R103" s="279"/>
      <c r="S103" s="279"/>
      <c r="T103" s="333">
        <f>-147-131-5</f>
        <v>-283</v>
      </c>
      <c r="U103" s="282"/>
      <c r="V103" s="5"/>
    </row>
    <row r="104" spans="1:23" x14ac:dyDescent="0.35">
      <c r="A104" s="278" t="s">
        <v>134</v>
      </c>
      <c r="B104" s="279" t="s">
        <v>123</v>
      </c>
      <c r="C104" s="279"/>
      <c r="D104" s="279"/>
      <c r="E104" s="279"/>
      <c r="F104" s="279"/>
      <c r="G104" s="279"/>
      <c r="H104" s="279"/>
      <c r="I104" s="279"/>
      <c r="J104" s="279"/>
      <c r="K104" s="279"/>
      <c r="L104" s="279"/>
      <c r="M104" s="279"/>
      <c r="N104" s="279"/>
      <c r="O104" s="279"/>
      <c r="P104" s="279"/>
      <c r="Q104" s="279"/>
      <c r="R104" s="279"/>
      <c r="S104" s="279"/>
      <c r="T104" s="333">
        <v>0</v>
      </c>
      <c r="U104" s="282"/>
      <c r="V104" s="5"/>
    </row>
    <row r="105" spans="1:23" x14ac:dyDescent="0.35">
      <c r="A105" s="278" t="s">
        <v>135</v>
      </c>
      <c r="B105" s="279" t="s">
        <v>169</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157</v>
      </c>
      <c r="B106" s="279" t="s">
        <v>353</v>
      </c>
      <c r="C106" s="279"/>
      <c r="D106" s="279"/>
      <c r="E106" s="279"/>
      <c r="F106" s="279"/>
      <c r="G106" s="279"/>
      <c r="H106" s="279"/>
      <c r="I106" s="279"/>
      <c r="J106" s="279"/>
      <c r="K106" s="279"/>
      <c r="L106" s="279"/>
      <c r="M106" s="279"/>
      <c r="N106" s="279"/>
      <c r="O106" s="279"/>
      <c r="P106" s="279"/>
      <c r="Q106" s="279"/>
      <c r="R106" s="279"/>
      <c r="S106" s="279"/>
      <c r="T106" s="333">
        <f>-485+268</f>
        <v>-217</v>
      </c>
      <c r="U106" s="282"/>
      <c r="V106" s="169"/>
      <c r="W106" s="109"/>
    </row>
    <row r="107" spans="1:23" x14ac:dyDescent="0.35">
      <c r="A107" s="278" t="s">
        <v>158</v>
      </c>
      <c r="B107" s="279" t="s">
        <v>354</v>
      </c>
      <c r="C107" s="279"/>
      <c r="D107" s="279"/>
      <c r="E107" s="279"/>
      <c r="F107" s="279"/>
      <c r="G107" s="279"/>
      <c r="H107" s="279"/>
      <c r="I107" s="279"/>
      <c r="J107" s="279"/>
      <c r="K107" s="279"/>
      <c r="L107" s="279"/>
      <c r="M107" s="279"/>
      <c r="N107" s="279"/>
      <c r="O107" s="279"/>
      <c r="P107" s="279"/>
      <c r="Q107" s="279"/>
      <c r="R107" s="279"/>
      <c r="S107" s="279"/>
      <c r="T107" s="333">
        <v>-268</v>
      </c>
      <c r="U107" s="282"/>
      <c r="V107" s="5"/>
      <c r="W107" s="109"/>
    </row>
    <row r="108" spans="1:23" x14ac:dyDescent="0.35">
      <c r="A108" s="278" t="s">
        <v>247</v>
      </c>
      <c r="B108" s="279" t="s">
        <v>214</v>
      </c>
      <c r="C108" s="279"/>
      <c r="D108" s="279"/>
      <c r="E108" s="279"/>
      <c r="F108" s="279"/>
      <c r="G108" s="279"/>
      <c r="H108" s="279"/>
      <c r="I108" s="279"/>
      <c r="J108" s="279"/>
      <c r="K108" s="279"/>
      <c r="L108" s="279"/>
      <c r="M108" s="279"/>
      <c r="N108" s="279"/>
      <c r="O108" s="279"/>
      <c r="P108" s="279"/>
      <c r="Q108" s="279"/>
      <c r="R108" s="279"/>
      <c r="S108" s="279"/>
      <c r="T108" s="333">
        <v>-24</v>
      </c>
      <c r="U108" s="282"/>
      <c r="V108" s="5"/>
      <c r="W108" s="109"/>
    </row>
    <row r="109" spans="1:23" x14ac:dyDescent="0.35">
      <c r="A109" s="278" t="s">
        <v>248</v>
      </c>
      <c r="B109" s="279" t="s">
        <v>215</v>
      </c>
      <c r="C109" s="279"/>
      <c r="D109" s="279"/>
      <c r="E109" s="279"/>
      <c r="F109" s="279"/>
      <c r="G109" s="279"/>
      <c r="H109" s="279"/>
      <c r="I109" s="279"/>
      <c r="J109" s="279"/>
      <c r="K109" s="279"/>
      <c r="L109" s="279"/>
      <c r="M109" s="279"/>
      <c r="N109" s="279"/>
      <c r="O109" s="279"/>
      <c r="P109" s="279"/>
      <c r="Q109" s="279"/>
      <c r="R109" s="279"/>
      <c r="S109" s="279"/>
      <c r="T109" s="333">
        <v>-53</v>
      </c>
      <c r="U109" s="282"/>
      <c r="V109" s="169"/>
      <c r="W109" s="109"/>
    </row>
    <row r="110" spans="1:23" x14ac:dyDescent="0.35">
      <c r="A110" s="278" t="s">
        <v>249</v>
      </c>
      <c r="B110" s="279" t="s">
        <v>230</v>
      </c>
      <c r="C110" s="279"/>
      <c r="D110" s="279"/>
      <c r="E110" s="279"/>
      <c r="F110" s="279"/>
      <c r="G110" s="279"/>
      <c r="H110" s="279"/>
      <c r="I110" s="279"/>
      <c r="J110" s="279"/>
      <c r="K110" s="279"/>
      <c r="L110" s="279"/>
      <c r="M110" s="279"/>
      <c r="N110" s="279"/>
      <c r="O110" s="279"/>
      <c r="P110" s="279"/>
      <c r="Q110" s="279"/>
      <c r="R110" s="279"/>
      <c r="S110" s="279"/>
      <c r="T110" s="333">
        <v>-56</v>
      </c>
      <c r="U110" s="282"/>
      <c r="V110" s="5"/>
      <c r="W110" s="109"/>
    </row>
    <row r="111" spans="1:23" x14ac:dyDescent="0.35">
      <c r="A111" s="278" t="s">
        <v>250</v>
      </c>
      <c r="B111" s="279" t="s">
        <v>216</v>
      </c>
      <c r="C111" s="279"/>
      <c r="D111" s="279"/>
      <c r="E111" s="279"/>
      <c r="F111" s="279"/>
      <c r="G111" s="279"/>
      <c r="H111" s="279"/>
      <c r="I111" s="279"/>
      <c r="J111" s="279"/>
      <c r="K111" s="279"/>
      <c r="L111" s="279"/>
      <c r="M111" s="279"/>
      <c r="N111" s="279"/>
      <c r="O111" s="279"/>
      <c r="P111" s="279"/>
      <c r="Q111" s="279"/>
      <c r="R111" s="279"/>
      <c r="S111" s="279"/>
      <c r="T111" s="333">
        <v>-142</v>
      </c>
      <c r="U111" s="282"/>
      <c r="V111" s="5"/>
      <c r="W111" s="109"/>
    </row>
    <row r="112" spans="1:23" x14ac:dyDescent="0.35">
      <c r="A112" s="278">
        <v>7</v>
      </c>
      <c r="B112" s="394" t="s">
        <v>326</v>
      </c>
      <c r="C112" s="279"/>
      <c r="D112" s="279"/>
      <c r="E112" s="279"/>
      <c r="F112" s="279"/>
      <c r="G112" s="279"/>
      <c r="H112" s="279"/>
      <c r="I112" s="279"/>
      <c r="J112" s="279"/>
      <c r="K112" s="279"/>
      <c r="L112" s="279"/>
      <c r="M112" s="279"/>
      <c r="N112" s="279"/>
      <c r="O112" s="279"/>
      <c r="P112" s="279"/>
      <c r="Q112" s="279"/>
      <c r="R112" s="279"/>
      <c r="S112" s="279"/>
      <c r="T112" s="333">
        <v>0</v>
      </c>
      <c r="U112" s="282"/>
      <c r="V112" s="5"/>
      <c r="W112" s="109"/>
    </row>
    <row r="113" spans="1:22" x14ac:dyDescent="0.35">
      <c r="A113" s="278">
        <v>8</v>
      </c>
      <c r="B113" s="279" t="s">
        <v>36</v>
      </c>
      <c r="C113" s="279"/>
      <c r="D113" s="279"/>
      <c r="E113" s="279"/>
      <c r="F113" s="279"/>
      <c r="G113" s="279"/>
      <c r="H113" s="279"/>
      <c r="I113" s="279"/>
      <c r="J113" s="279"/>
      <c r="K113" s="279"/>
      <c r="L113" s="279"/>
      <c r="M113" s="279"/>
      <c r="N113" s="279"/>
      <c r="O113" s="279"/>
      <c r="P113" s="279"/>
      <c r="Q113" s="279"/>
      <c r="R113" s="279"/>
      <c r="S113" s="279"/>
      <c r="T113" s="333">
        <v>-13</v>
      </c>
      <c r="U113" s="282"/>
      <c r="V113" s="5"/>
    </row>
    <row r="114" spans="1:22" x14ac:dyDescent="0.35">
      <c r="A114" s="278">
        <f t="shared" ref="A114:A119" si="0">+A113+1</f>
        <v>9</v>
      </c>
      <c r="B114" s="279" t="s">
        <v>47</v>
      </c>
      <c r="C114" s="279"/>
      <c r="D114" s="279"/>
      <c r="E114" s="279"/>
      <c r="F114" s="279"/>
      <c r="G114" s="279"/>
      <c r="H114" s="279"/>
      <c r="I114" s="279"/>
      <c r="J114" s="279"/>
      <c r="K114" s="279"/>
      <c r="L114" s="279"/>
      <c r="M114" s="279"/>
      <c r="N114" s="279"/>
      <c r="O114" s="279"/>
      <c r="P114" s="279"/>
      <c r="Q114" s="279"/>
      <c r="R114" s="332">
        <f>-T114</f>
        <v>135</v>
      </c>
      <c r="S114" s="279"/>
      <c r="T114" s="333">
        <v>-135</v>
      </c>
      <c r="U114" s="282"/>
      <c r="V114" s="5"/>
    </row>
    <row r="115" spans="1:22" x14ac:dyDescent="0.35">
      <c r="A115" s="278">
        <f t="shared" si="0"/>
        <v>10</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11</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12</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13</v>
      </c>
      <c r="B118" s="279" t="s">
        <v>156</v>
      </c>
      <c r="C118" s="279"/>
      <c r="D118" s="279"/>
      <c r="E118" s="279"/>
      <c r="F118" s="279"/>
      <c r="G118" s="279"/>
      <c r="H118" s="279"/>
      <c r="I118" s="279"/>
      <c r="J118" s="279"/>
      <c r="K118" s="279"/>
      <c r="L118" s="279"/>
      <c r="M118" s="279"/>
      <c r="N118" s="279"/>
      <c r="O118" s="279"/>
      <c r="P118" s="279"/>
      <c r="Q118" s="279"/>
      <c r="R118" s="279"/>
      <c r="S118" s="279"/>
      <c r="T118" s="333">
        <v>-146</v>
      </c>
      <c r="U118" s="282"/>
      <c r="V118" s="5"/>
    </row>
    <row r="119" spans="1:22" x14ac:dyDescent="0.35">
      <c r="A119" s="278">
        <f t="shared" si="0"/>
        <v>14</v>
      </c>
      <c r="B119" s="279" t="s">
        <v>133</v>
      </c>
      <c r="C119" s="279"/>
      <c r="D119" s="279"/>
      <c r="E119" s="279"/>
      <c r="F119" s="279"/>
      <c r="G119" s="279"/>
      <c r="H119" s="279"/>
      <c r="I119" s="279"/>
      <c r="J119" s="279"/>
      <c r="K119" s="279"/>
      <c r="L119" s="279"/>
      <c r="M119" s="279"/>
      <c r="N119" s="279"/>
      <c r="O119" s="279"/>
      <c r="P119" s="279"/>
      <c r="Q119" s="279"/>
      <c r="R119" s="279"/>
      <c r="S119" s="279"/>
      <c r="T119" s="333">
        <f>-T99-SUM(T101:T118)</f>
        <v>-1025</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0</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-205</v>
      </c>
      <c r="S123" s="332"/>
      <c r="T123" s="333"/>
      <c r="U123" s="282"/>
      <c r="V123" s="5"/>
    </row>
    <row r="124" spans="1:22" x14ac:dyDescent="0.35">
      <c r="A124" s="278"/>
      <c r="B124" s="279" t="s">
        <v>377</v>
      </c>
      <c r="C124" s="279"/>
      <c r="D124" s="279"/>
      <c r="E124" s="279"/>
      <c r="F124" s="279"/>
      <c r="G124" s="279"/>
      <c r="H124" s="279"/>
      <c r="I124" s="279"/>
      <c r="J124" s="279"/>
      <c r="K124" s="279"/>
      <c r="L124" s="279"/>
      <c r="M124" s="279"/>
      <c r="N124" s="279"/>
      <c r="O124" s="279"/>
      <c r="P124" s="279"/>
      <c r="Q124" s="279"/>
      <c r="R124" s="332">
        <v>-5167</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-416</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-177</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-692</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-249</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-6906</v>
      </c>
      <c r="S131" s="332"/>
      <c r="T131" s="332">
        <f>SUM(T100:T129)</f>
        <v>-2364</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R99+R131+R114</f>
        <v>0</v>
      </c>
      <c r="S132" s="332"/>
      <c r="T132" s="332">
        <f>T99+T131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B63</f>
        <v>PM10 INVESTOR REPORT QUARTER ENDING MAY 2017</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335</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135</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135</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-135</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T70</f>
        <v>372687</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T83</f>
        <v>372687</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+'Feb 17'!Q182</f>
        <v>45929</v>
      </c>
      <c r="R180" s="333">
        <f>+'Feb 17'!R182</f>
        <v>5995</v>
      </c>
      <c r="S180" s="279"/>
      <c r="T180" s="333">
        <f>Q180+R180</f>
        <v>51924</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205</v>
      </c>
      <c r="R181" s="332">
        <v>0</v>
      </c>
      <c r="S181" s="279"/>
      <c r="T181" s="333">
        <f>Q181+R181</f>
        <v>205</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46134</v>
      </c>
      <c r="R182" s="333">
        <f>R181+R180</f>
        <v>5995</v>
      </c>
      <c r="S182" s="279"/>
      <c r="T182" s="333">
        <f>Q182+R182</f>
        <v>52129</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107927.48000000001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(T99+T101+T102+T103+T104+T105)/-(T106+T107)</f>
        <v>4.2865979381443298</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1.76</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(T99+T101+T102+T103+T104+T105+T106+T107)/-(T108+T109)</f>
        <v>20.7012987012987</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9.5399999999999991</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(T99+T101+T102+T103+T104+T105+T106+T107+T108+T109)/-(T110+T111)</f>
        <v>7.6616161616161618</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4.5999999999999996</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MAY 2017</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42886</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2.0809999999999999E-2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7.9447919865888953E-3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1.2865208013411103E-2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+T99/L67</f>
        <v>6.2310879627189052E-3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10.67</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+N67/L67</f>
        <v>1.8203000622054467E-2</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8.6900000000000005E-2</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65</v>
      </c>
      <c r="R216" s="358">
        <f>+R268</f>
        <v>11186</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135</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'Feb 17'!R222+R221</f>
        <v>7083</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6</v>
      </c>
      <c r="R228" s="358">
        <v>733</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0.85</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2779</v>
      </c>
      <c r="Q235" s="378">
        <f t="shared" ref="Q235:Q242" si="2">P235/$P$244</f>
        <v>0.99605734767025089</v>
      </c>
      <c r="R235" s="237">
        <f t="shared" ref="R235:R242" si="3">+R247+R259+R271</f>
        <v>371727</v>
      </c>
      <c r="S235" s="378">
        <f t="shared" ref="S235:S242" si="4">R235/$R$244</f>
        <v>0.99742411192233693</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8</v>
      </c>
      <c r="Q236" s="378">
        <f t="shared" si="2"/>
        <v>2.8673835125448029E-3</v>
      </c>
      <c r="R236" s="333">
        <f t="shared" si="3"/>
        <v>610</v>
      </c>
      <c r="S236" s="378">
        <f t="shared" si="4"/>
        <v>1.6367622160150476E-3</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1</v>
      </c>
      <c r="Q237" s="378">
        <f t="shared" si="2"/>
        <v>3.5842293906810036E-4</v>
      </c>
      <c r="R237" s="333">
        <f t="shared" si="3"/>
        <v>133</v>
      </c>
      <c r="S237" s="378">
        <f t="shared" si="4"/>
        <v>3.5686782742623167E-4</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0</v>
      </c>
      <c r="Q238" s="378">
        <f t="shared" si="2"/>
        <v>0</v>
      </c>
      <c r="R238" s="333">
        <f t="shared" si="3"/>
        <v>0</v>
      </c>
      <c r="S238" s="378">
        <f t="shared" si="4"/>
        <v>0</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0</v>
      </c>
      <c r="Q239" s="378">
        <f t="shared" si="2"/>
        <v>0</v>
      </c>
      <c r="R239" s="333">
        <f t="shared" si="3"/>
        <v>0</v>
      </c>
      <c r="S239" s="378">
        <f t="shared" si="4"/>
        <v>0</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0</v>
      </c>
      <c r="Q240" s="378">
        <f t="shared" si="2"/>
        <v>0</v>
      </c>
      <c r="R240" s="333">
        <f t="shared" si="3"/>
        <v>0</v>
      </c>
      <c r="S240" s="378">
        <f t="shared" si="4"/>
        <v>0</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2</v>
      </c>
      <c r="Q241" s="378">
        <f t="shared" si="2"/>
        <v>7.1684587813620072E-4</v>
      </c>
      <c r="R241" s="333">
        <f t="shared" si="3"/>
        <v>217</v>
      </c>
      <c r="S241" s="378">
        <f t="shared" si="4"/>
        <v>5.8225803422174642E-4</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0</v>
      </c>
      <c r="Q242" s="378">
        <f t="shared" si="2"/>
        <v>0</v>
      </c>
      <c r="R242" s="333">
        <f t="shared" si="3"/>
        <v>0</v>
      </c>
      <c r="S242" s="383">
        <f t="shared" si="4"/>
        <v>0</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2790</v>
      </c>
      <c r="Q244" s="378">
        <f>SUM(Q235:Q243)</f>
        <v>1</v>
      </c>
      <c r="R244" s="333">
        <f>SUM(R235:R243)</f>
        <v>372687</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2719</v>
      </c>
      <c r="Q247" s="244">
        <f t="shared" ref="Q247:Q254" si="5">P247/$P$256</f>
        <v>0.99779816513761466</v>
      </c>
      <c r="R247" s="237">
        <v>361114</v>
      </c>
      <c r="S247" s="244">
        <f t="shared" ref="S247:S254" si="6">R247/$R$256</f>
        <v>0.99892946354228618</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6</v>
      </c>
      <c r="Q248" s="378">
        <f t="shared" si="5"/>
        <v>2.2018348623853213E-3</v>
      </c>
      <c r="R248" s="333">
        <v>387</v>
      </c>
      <c r="S248" s="378">
        <f t="shared" si="6"/>
        <v>1.07053645771381E-3</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0</v>
      </c>
      <c r="Q249" s="378">
        <f t="shared" si="5"/>
        <v>0</v>
      </c>
      <c r="R249" s="333">
        <v>0</v>
      </c>
      <c r="S249" s="378">
        <f t="shared" si="6"/>
        <v>0</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2725</v>
      </c>
      <c r="Q256" s="378">
        <f>SUM(Q247:Q255)</f>
        <v>1</v>
      </c>
      <c r="R256" s="333">
        <f>SUM(R247:R255)</f>
        <v>361501</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60</v>
      </c>
      <c r="Q259" s="244">
        <f t="shared" ref="Q259:Q266" si="7">P259/$P$268</f>
        <v>0.92307692307692313</v>
      </c>
      <c r="R259" s="237">
        <v>10613</v>
      </c>
      <c r="S259" s="244">
        <f t="shared" ref="S259:S266" si="8">R259/$R$268</f>
        <v>0.94877525478276414</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2</v>
      </c>
      <c r="Q260" s="378">
        <f t="shared" si="7"/>
        <v>3.0769230769230771E-2</v>
      </c>
      <c r="R260" s="333">
        <v>223</v>
      </c>
      <c r="S260" s="378">
        <f t="shared" si="8"/>
        <v>1.9935633827999285E-2</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v>
      </c>
      <c r="Q261" s="378">
        <f t="shared" si="7"/>
        <v>1.5384615384615385E-2</v>
      </c>
      <c r="R261" s="333">
        <v>133</v>
      </c>
      <c r="S261" s="378">
        <f t="shared" si="8"/>
        <v>1.1889862327909888E-2</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0</v>
      </c>
      <c r="Q263" s="378">
        <f t="shared" si="7"/>
        <v>0</v>
      </c>
      <c r="R263" s="333">
        <v>0</v>
      </c>
      <c r="S263" s="378">
        <f t="shared" si="8"/>
        <v>0</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0</v>
      </c>
      <c r="Q264" s="378">
        <f t="shared" si="7"/>
        <v>0</v>
      </c>
      <c r="R264" s="333">
        <v>0</v>
      </c>
      <c r="S264" s="378">
        <f t="shared" si="8"/>
        <v>0</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2</v>
      </c>
      <c r="Q265" s="378">
        <f t="shared" si="7"/>
        <v>3.0769230769230771E-2</v>
      </c>
      <c r="R265" s="333">
        <v>217</v>
      </c>
      <c r="S265" s="378">
        <f t="shared" si="8"/>
        <v>1.9399249061326659E-2</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65</v>
      </c>
      <c r="Q268" s="378">
        <f>SUM(Q259:Q267)</f>
        <v>1</v>
      </c>
      <c r="R268" s="333">
        <f>SUM(R259:R267)</f>
        <v>11186</v>
      </c>
      <c r="S268" s="378">
        <f>SUM(S259:S267)</f>
        <v>0.99999999999999989</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2790</v>
      </c>
      <c r="Q282" s="378"/>
      <c r="R282" s="382">
        <f>+R280+R268+R256</f>
        <v>372687</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16" t="s">
        <v>330</v>
      </c>
      <c r="C286" s="216"/>
      <c r="D286" s="216"/>
      <c r="E286" s="216"/>
      <c r="F286" s="249" t="s">
        <v>278</v>
      </c>
      <c r="G286" s="216"/>
      <c r="H286" s="216" t="s">
        <v>279</v>
      </c>
      <c r="I286" s="248"/>
      <c r="J286" s="248"/>
      <c r="K286" s="248"/>
      <c r="L286" s="248"/>
      <c r="M286" s="248"/>
      <c r="N286" s="248"/>
      <c r="O286" s="248"/>
      <c r="P286" s="248"/>
      <c r="Q286" s="248"/>
      <c r="R286" s="248"/>
      <c r="S286" s="248"/>
      <c r="T286" s="248"/>
      <c r="U286" s="248"/>
      <c r="V286" s="5"/>
    </row>
    <row r="287" spans="1:22" x14ac:dyDescent="0.35">
      <c r="A287" s="213"/>
      <c r="B287" s="216" t="s">
        <v>331</v>
      </c>
      <c r="C287" s="216"/>
      <c r="D287" s="216"/>
      <c r="E287" s="216"/>
      <c r="F287" s="249" t="s">
        <v>154</v>
      </c>
      <c r="G287" s="216"/>
      <c r="H287" s="216" t="s">
        <v>161</v>
      </c>
      <c r="I287" s="248"/>
      <c r="J287" s="248"/>
      <c r="K287" s="248"/>
      <c r="L287" s="248"/>
      <c r="M287" s="248"/>
      <c r="N287" s="248"/>
      <c r="O287" s="248"/>
      <c r="P287" s="248"/>
      <c r="Q287" s="248"/>
      <c r="R287" s="248"/>
      <c r="S287" s="248"/>
      <c r="T287" s="248"/>
      <c r="U287" s="248"/>
      <c r="V287" s="5"/>
    </row>
    <row r="288" spans="1:22" x14ac:dyDescent="0.35">
      <c r="A288" s="213"/>
      <c r="B288" s="216"/>
      <c r="C288" s="216"/>
      <c r="D288" s="216"/>
      <c r="E288" s="216"/>
      <c r="F288" s="249"/>
      <c r="G288" s="216"/>
      <c r="H288" s="216"/>
      <c r="I288" s="248"/>
      <c r="J288" s="248"/>
      <c r="K288" s="248"/>
      <c r="L288" s="248"/>
      <c r="M288" s="248"/>
      <c r="N288" s="248"/>
      <c r="O288" s="248"/>
      <c r="P288" s="248"/>
      <c r="Q288" s="248"/>
      <c r="R288" s="248"/>
      <c r="S288" s="248"/>
      <c r="T288" s="248"/>
      <c r="U288" s="248"/>
      <c r="V288" s="5"/>
    </row>
    <row r="289" spans="1:22" x14ac:dyDescent="0.35">
      <c r="A289" s="213"/>
      <c r="B289" s="258" t="s">
        <v>358</v>
      </c>
      <c r="C289" s="216"/>
      <c r="D289" s="216"/>
      <c r="E289" s="216"/>
      <c r="F289" s="249"/>
      <c r="G289" s="216"/>
      <c r="H289" s="216"/>
      <c r="I289" s="248"/>
      <c r="J289" s="248"/>
      <c r="K289" s="248"/>
      <c r="L289" s="248"/>
      <c r="M289" s="248"/>
      <c r="N289" s="248"/>
      <c r="O289" s="248"/>
      <c r="P289" s="248"/>
      <c r="Q289" s="248"/>
      <c r="R289" s="248"/>
      <c r="S289" s="248"/>
      <c r="T289" s="248"/>
      <c r="U289" s="248"/>
      <c r="V289" s="5"/>
    </row>
    <row r="290" spans="1:22" x14ac:dyDescent="0.35">
      <c r="A290" s="213"/>
      <c r="B290" s="258" t="s">
        <v>355</v>
      </c>
      <c r="C290" s="216"/>
      <c r="D290" s="216"/>
      <c r="E290" s="216"/>
      <c r="F290" s="249"/>
      <c r="G290" s="216"/>
      <c r="H290" s="216"/>
      <c r="I290" s="248"/>
      <c r="J290" s="248"/>
      <c r="K290" s="248"/>
      <c r="L290" s="248"/>
      <c r="M290" s="248"/>
      <c r="N290" s="248"/>
      <c r="O290" s="248"/>
      <c r="P290" s="248"/>
      <c r="Q290" s="248"/>
      <c r="R290" s="248"/>
      <c r="S290" s="248"/>
      <c r="T290" s="248"/>
      <c r="U290" s="248"/>
      <c r="V290" s="5"/>
    </row>
    <row r="291" spans="1:22" x14ac:dyDescent="0.35">
      <c r="A291" s="213"/>
      <c r="B291" s="258" t="s">
        <v>357</v>
      </c>
      <c r="C291" s="216"/>
      <c r="D291" s="216"/>
      <c r="E291" s="216"/>
      <c r="F291" s="249"/>
      <c r="G291" s="216"/>
      <c r="H291" s="216"/>
      <c r="I291" s="248"/>
      <c r="J291" s="248"/>
      <c r="K291" s="248"/>
      <c r="L291" s="248"/>
      <c r="M291" s="248"/>
      <c r="N291" s="248"/>
      <c r="O291" s="248"/>
      <c r="P291" s="248"/>
      <c r="Q291" s="248"/>
      <c r="R291" s="248"/>
      <c r="S291" s="248"/>
      <c r="T291" s="248"/>
      <c r="U291" s="248"/>
      <c r="V291" s="5"/>
    </row>
    <row r="292" spans="1:22" x14ac:dyDescent="0.35">
      <c r="A292" s="213"/>
      <c r="B292" s="258" t="s">
        <v>356</v>
      </c>
      <c r="C292" s="216"/>
      <c r="D292" s="216"/>
      <c r="E292" s="216"/>
      <c r="F292" s="249"/>
      <c r="G292" s="216"/>
      <c r="H292" s="216"/>
      <c r="I292" s="248"/>
      <c r="J292" s="248"/>
      <c r="K292" s="248"/>
      <c r="L292" s="248"/>
      <c r="M292" s="248"/>
      <c r="N292" s="248"/>
      <c r="O292" s="248"/>
      <c r="P292" s="248"/>
      <c r="Q292" s="248"/>
      <c r="R292" s="248"/>
      <c r="S292" s="248"/>
      <c r="T292" s="248"/>
      <c r="U292" s="248"/>
      <c r="V292" s="5"/>
    </row>
    <row r="293" spans="1:22" x14ac:dyDescent="0.35">
      <c r="A293" s="213"/>
      <c r="B293" s="258"/>
      <c r="C293" s="216"/>
      <c r="D293" s="216"/>
      <c r="E293" s="216"/>
      <c r="F293" s="249"/>
      <c r="G293" s="216"/>
      <c r="H293" s="216"/>
      <c r="I293" s="248"/>
      <c r="J293" s="248"/>
      <c r="K293" s="248"/>
      <c r="L293" s="248"/>
      <c r="M293" s="248"/>
      <c r="N293" s="248"/>
      <c r="O293" s="248"/>
      <c r="P293" s="248"/>
      <c r="Q293" s="248"/>
      <c r="R293" s="248"/>
      <c r="S293" s="248"/>
      <c r="T293" s="248"/>
      <c r="U293" s="248"/>
      <c r="V293" s="5"/>
    </row>
    <row r="294" spans="1:22" ht="17.5" x14ac:dyDescent="0.35">
      <c r="A294" s="213"/>
      <c r="B294" s="401" t="s">
        <v>359</v>
      </c>
      <c r="C294" s="216"/>
      <c r="D294" s="216"/>
      <c r="E294" s="216"/>
      <c r="F294" s="216"/>
      <c r="G294" s="250"/>
      <c r="H294" s="248"/>
      <c r="I294" s="248"/>
      <c r="J294" s="248"/>
      <c r="K294" s="248"/>
      <c r="L294" s="188"/>
      <c r="M294" s="188"/>
      <c r="N294" s="402"/>
      <c r="O294" s="188"/>
      <c r="P294" s="402" t="s">
        <v>177</v>
      </c>
      <c r="Q294" s="248"/>
      <c r="R294" s="248"/>
      <c r="S294" s="248"/>
      <c r="T294" s="248"/>
      <c r="U294" s="248"/>
      <c r="V294" s="5"/>
    </row>
    <row r="295" spans="1:22" x14ac:dyDescent="0.35">
      <c r="A295" s="213"/>
      <c r="B295" s="216"/>
      <c r="C295" s="216"/>
      <c r="D295" s="216"/>
      <c r="E295" s="216"/>
      <c r="F295" s="216"/>
      <c r="G295" s="250"/>
      <c r="H295" s="248"/>
      <c r="I295" s="248"/>
      <c r="J295" s="248"/>
      <c r="K295" s="248"/>
      <c r="L295" s="248"/>
      <c r="M295" s="248"/>
      <c r="N295" s="248"/>
      <c r="O295" s="248"/>
      <c r="P295" s="248"/>
      <c r="Q295" s="248"/>
      <c r="R295" s="248"/>
      <c r="S295" s="248"/>
      <c r="T295" s="248"/>
      <c r="U295" s="248"/>
      <c r="V295" s="5"/>
    </row>
    <row r="296" spans="1:22" ht="18" thickBot="1" x14ac:dyDescent="0.4">
      <c r="A296" s="213"/>
      <c r="B296" s="251" t="str">
        <f>B196</f>
        <v>PM10 INVESTOR REPORT QUARTER ENDING MAY 2017</v>
      </c>
      <c r="C296" s="216"/>
      <c r="D296" s="216"/>
      <c r="E296" s="216"/>
      <c r="F296" s="216"/>
      <c r="G296" s="250"/>
      <c r="H296" s="248"/>
      <c r="I296" s="248"/>
      <c r="J296" s="248"/>
      <c r="K296" s="248"/>
      <c r="L296" s="248"/>
      <c r="M296" s="248"/>
      <c r="N296" s="248"/>
      <c r="O296" s="248"/>
      <c r="P296" s="248"/>
      <c r="Q296" s="248"/>
      <c r="R296" s="248"/>
      <c r="S296" s="248"/>
      <c r="T296" s="248"/>
      <c r="U296" s="248"/>
      <c r="V296" s="5"/>
    </row>
    <row r="297" spans="1:22" x14ac:dyDescent="0.35">
      <c r="A297" s="100"/>
      <c r="B297" s="100"/>
      <c r="C297" s="100"/>
      <c r="D297" s="100"/>
      <c r="E297" s="100"/>
      <c r="F297" s="100"/>
      <c r="G297" s="100"/>
      <c r="H297" s="100"/>
      <c r="I297" s="100"/>
      <c r="J297" s="100"/>
      <c r="K297" s="100"/>
      <c r="L297" s="100"/>
      <c r="M297" s="100"/>
      <c r="N297" s="100"/>
      <c r="O297" s="100"/>
      <c r="P297" s="100"/>
      <c r="Q297" s="100"/>
      <c r="R297" s="100"/>
      <c r="S297" s="100"/>
      <c r="T297" s="100"/>
      <c r="U297" s="100"/>
    </row>
  </sheetData>
  <hyperlinks>
    <hyperlink ref="J9" r:id="rId1" xr:uid="{00000000-0004-0000-2D00-000000000000}"/>
    <hyperlink ref="N232" r:id="rId2" xr:uid="{00000000-0004-0000-2D00-000001000000}"/>
    <hyperlink ref="P294" r:id="rId3" xr:uid="{00000000-0004-0000-2D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2D2926"/>
  </sheetPr>
  <dimension ref="A1:Z297"/>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172"/>
      <c r="B1" s="214" t="s">
        <v>188</v>
      </c>
      <c r="C1" s="173"/>
      <c r="D1" s="173"/>
      <c r="E1" s="173"/>
      <c r="F1" s="173"/>
      <c r="G1" s="173"/>
      <c r="H1" s="173"/>
      <c r="I1" s="173"/>
      <c r="J1" s="173"/>
      <c r="K1" s="173"/>
      <c r="L1" s="173"/>
      <c r="M1" s="173"/>
      <c r="N1" s="173"/>
      <c r="O1" s="173"/>
      <c r="P1" s="173"/>
      <c r="Q1" s="173"/>
      <c r="R1" s="173"/>
      <c r="S1" s="173"/>
      <c r="T1" s="173"/>
      <c r="U1" s="173"/>
      <c r="V1" s="5"/>
    </row>
    <row r="2" spans="1:22" x14ac:dyDescent="0.35">
      <c r="A2" s="174"/>
      <c r="B2" s="175"/>
      <c r="C2" s="176"/>
      <c r="D2" s="176"/>
      <c r="E2" s="176"/>
      <c r="F2" s="176"/>
      <c r="G2" s="176"/>
      <c r="H2" s="176"/>
      <c r="I2" s="176"/>
      <c r="J2" s="176"/>
      <c r="K2" s="176"/>
      <c r="L2" s="176"/>
      <c r="M2" s="176"/>
      <c r="N2" s="176"/>
      <c r="O2" s="176"/>
      <c r="P2" s="176"/>
      <c r="Q2" s="176"/>
      <c r="R2" s="176"/>
      <c r="S2" s="176"/>
      <c r="T2" s="176"/>
      <c r="U2" s="176"/>
      <c r="V2" s="5"/>
    </row>
    <row r="3" spans="1:22" x14ac:dyDescent="0.35">
      <c r="A3" s="177"/>
      <c r="B3" s="178" t="s">
        <v>189</v>
      </c>
      <c r="C3" s="176"/>
      <c r="D3" s="176"/>
      <c r="E3" s="176"/>
      <c r="F3" s="176"/>
      <c r="G3" s="176"/>
      <c r="H3" s="176"/>
      <c r="I3" s="176"/>
      <c r="J3" s="176"/>
      <c r="K3" s="176"/>
      <c r="L3" s="176"/>
      <c r="M3" s="176"/>
      <c r="N3" s="176"/>
      <c r="O3" s="176"/>
      <c r="P3" s="176"/>
      <c r="Q3" s="176"/>
      <c r="R3" s="176"/>
      <c r="S3" s="176"/>
      <c r="T3" s="176"/>
      <c r="U3" s="176"/>
      <c r="V3" s="5"/>
    </row>
    <row r="4" spans="1:22" x14ac:dyDescent="0.35">
      <c r="A4" s="174"/>
      <c r="B4" s="175"/>
      <c r="C4" s="176"/>
      <c r="D4" s="176"/>
      <c r="E4" s="176"/>
      <c r="F4" s="176"/>
      <c r="G4" s="176"/>
      <c r="H4" s="176"/>
      <c r="I4" s="176"/>
      <c r="J4" s="176"/>
      <c r="K4" s="176"/>
      <c r="L4" s="176"/>
      <c r="M4" s="176"/>
      <c r="N4" s="176"/>
      <c r="O4" s="176"/>
      <c r="P4" s="176"/>
      <c r="Q4" s="176"/>
      <c r="R4" s="176"/>
      <c r="S4" s="176"/>
      <c r="T4" s="176"/>
      <c r="U4" s="176"/>
      <c r="V4" s="5"/>
    </row>
    <row r="5" spans="1:22" x14ac:dyDescent="0.35">
      <c r="A5" s="174"/>
      <c r="B5" s="215" t="s">
        <v>144</v>
      </c>
      <c r="C5" s="176"/>
      <c r="D5" s="176"/>
      <c r="E5" s="176"/>
      <c r="F5" s="176"/>
      <c r="G5" s="176"/>
      <c r="H5" s="176"/>
      <c r="I5" s="176"/>
      <c r="J5" s="176"/>
      <c r="K5" s="176"/>
      <c r="L5" s="176"/>
      <c r="M5" s="176"/>
      <c r="N5" s="176"/>
      <c r="O5" s="176"/>
      <c r="P5" s="176"/>
      <c r="Q5" s="176"/>
      <c r="R5" s="176"/>
      <c r="S5" s="176"/>
      <c r="T5" s="176"/>
      <c r="U5" s="176"/>
      <c r="V5" s="5"/>
    </row>
    <row r="6" spans="1:22" x14ac:dyDescent="0.35">
      <c r="A6" s="174"/>
      <c r="B6" s="215" t="s">
        <v>146</v>
      </c>
      <c r="C6" s="176"/>
      <c r="D6" s="176"/>
      <c r="E6" s="176"/>
      <c r="F6" s="176"/>
      <c r="G6" s="176"/>
      <c r="H6" s="176"/>
      <c r="I6" s="176"/>
      <c r="J6" s="176"/>
      <c r="K6" s="176"/>
      <c r="L6" s="176"/>
      <c r="M6" s="176"/>
      <c r="N6" s="176"/>
      <c r="O6" s="176"/>
      <c r="P6" s="176"/>
      <c r="Q6" s="176"/>
      <c r="R6" s="176"/>
      <c r="S6" s="176"/>
      <c r="T6" s="176"/>
      <c r="U6" s="176"/>
      <c r="V6" s="5"/>
    </row>
    <row r="7" spans="1:22" x14ac:dyDescent="0.35">
      <c r="A7" s="174"/>
      <c r="B7" s="215" t="s">
        <v>145</v>
      </c>
      <c r="C7" s="176"/>
      <c r="D7" s="176"/>
      <c r="E7" s="176"/>
      <c r="F7" s="176"/>
      <c r="G7" s="176"/>
      <c r="H7" s="176"/>
      <c r="I7" s="176"/>
      <c r="J7" s="176"/>
      <c r="K7" s="176"/>
      <c r="L7" s="176"/>
      <c r="M7" s="176"/>
      <c r="N7" s="176"/>
      <c r="O7" s="176"/>
      <c r="P7" s="176"/>
      <c r="Q7" s="176"/>
      <c r="R7" s="176"/>
      <c r="S7" s="176"/>
      <c r="T7" s="176"/>
      <c r="U7" s="176"/>
      <c r="V7" s="5"/>
    </row>
    <row r="8" spans="1:22" x14ac:dyDescent="0.35">
      <c r="A8" s="174"/>
      <c r="B8" s="179"/>
      <c r="C8" s="176"/>
      <c r="D8" s="176"/>
      <c r="E8" s="176"/>
      <c r="F8" s="176"/>
      <c r="G8" s="176"/>
      <c r="H8" s="176"/>
      <c r="I8" s="176"/>
      <c r="J8" s="176"/>
      <c r="K8" s="176"/>
      <c r="L8" s="176"/>
      <c r="M8" s="176"/>
      <c r="N8" s="176"/>
      <c r="O8" s="176"/>
      <c r="P8" s="176"/>
      <c r="Q8" s="176"/>
      <c r="R8" s="176"/>
      <c r="S8" s="176"/>
      <c r="T8" s="176"/>
      <c r="U8" s="176"/>
      <c r="V8" s="5"/>
    </row>
    <row r="9" spans="1:22" ht="17.5" x14ac:dyDescent="0.35">
      <c r="A9" s="174"/>
      <c r="B9" s="180" t="s">
        <v>176</v>
      </c>
      <c r="C9" s="176"/>
      <c r="D9" s="176"/>
      <c r="E9" s="176"/>
      <c r="F9" s="176"/>
      <c r="G9" s="176"/>
      <c r="H9" s="176"/>
      <c r="I9" s="176"/>
      <c r="J9" s="181" t="s">
        <v>177</v>
      </c>
      <c r="K9" s="176"/>
      <c r="L9" s="176"/>
      <c r="M9" s="176"/>
      <c r="N9" s="176"/>
      <c r="O9" s="176"/>
      <c r="P9" s="176"/>
      <c r="Q9" s="176"/>
      <c r="R9" s="176"/>
      <c r="S9" s="176"/>
      <c r="T9" s="176"/>
      <c r="U9" s="176"/>
      <c r="V9" s="5"/>
    </row>
    <row r="10" spans="1:22" x14ac:dyDescent="0.35">
      <c r="A10" s="174"/>
      <c r="B10" s="179"/>
      <c r="C10" s="182"/>
      <c r="D10" s="182"/>
      <c r="E10" s="182"/>
      <c r="F10" s="176"/>
      <c r="G10" s="176"/>
      <c r="H10" s="176"/>
      <c r="I10" s="176"/>
      <c r="J10" s="176"/>
      <c r="K10" s="176"/>
      <c r="L10" s="176"/>
      <c r="M10" s="176"/>
      <c r="N10" s="176"/>
      <c r="O10" s="176"/>
      <c r="P10" s="176"/>
      <c r="Q10" s="176"/>
      <c r="R10" s="176"/>
      <c r="S10" s="176"/>
      <c r="T10" s="176"/>
      <c r="U10" s="176"/>
      <c r="V10" s="5"/>
    </row>
    <row r="11" spans="1:22" x14ac:dyDescent="0.35">
      <c r="A11" s="174"/>
      <c r="B11" s="216" t="s">
        <v>0</v>
      </c>
      <c r="C11" s="176"/>
      <c r="D11" s="176"/>
      <c r="E11" s="176"/>
      <c r="F11" s="176"/>
      <c r="G11" s="176"/>
      <c r="H11" s="176"/>
      <c r="I11" s="176"/>
      <c r="J11" s="176"/>
      <c r="K11" s="176"/>
      <c r="L11" s="176"/>
      <c r="M11" s="176"/>
      <c r="N11" s="176"/>
      <c r="O11" s="176"/>
      <c r="P11" s="176"/>
      <c r="Q11" s="176"/>
      <c r="R11" s="176"/>
      <c r="S11" s="176"/>
      <c r="T11" s="176"/>
      <c r="U11" s="176"/>
      <c r="V11" s="5"/>
    </row>
    <row r="12" spans="1:22" ht="16" thickBot="1" x14ac:dyDescent="0.4">
      <c r="A12" s="174"/>
      <c r="B12" s="182"/>
      <c r="C12" s="176"/>
      <c r="D12" s="176"/>
      <c r="E12" s="176"/>
      <c r="F12" s="176"/>
      <c r="G12" s="176"/>
      <c r="H12" s="176"/>
      <c r="I12" s="176"/>
      <c r="J12" s="176"/>
      <c r="K12" s="176"/>
      <c r="L12" s="176"/>
      <c r="M12" s="176"/>
      <c r="N12" s="176"/>
      <c r="O12" s="176"/>
      <c r="P12" s="176"/>
      <c r="Q12" s="176"/>
      <c r="R12" s="176"/>
      <c r="S12" s="176"/>
      <c r="T12" s="176"/>
      <c r="U12" s="176"/>
      <c r="V12" s="5"/>
    </row>
    <row r="13" spans="1:22" x14ac:dyDescent="0.35">
      <c r="A13" s="172"/>
      <c r="B13" s="173"/>
      <c r="C13" s="173"/>
      <c r="D13" s="173"/>
      <c r="E13" s="173"/>
      <c r="F13" s="173"/>
      <c r="G13" s="173"/>
      <c r="H13" s="173"/>
      <c r="I13" s="173"/>
      <c r="J13" s="173"/>
      <c r="K13" s="173"/>
      <c r="L13" s="173"/>
      <c r="M13" s="173"/>
      <c r="N13" s="173"/>
      <c r="O13" s="173"/>
      <c r="P13" s="173"/>
      <c r="Q13" s="173"/>
      <c r="R13" s="173"/>
      <c r="S13" s="173"/>
      <c r="T13" s="173"/>
      <c r="U13" s="173"/>
      <c r="V13" s="5"/>
    </row>
    <row r="14" spans="1:22" x14ac:dyDescent="0.35">
      <c r="A14" s="174"/>
      <c r="B14" s="216" t="s">
        <v>1</v>
      </c>
      <c r="C14" s="183"/>
      <c r="D14" s="183"/>
      <c r="E14" s="183"/>
      <c r="F14" s="183"/>
      <c r="G14" s="183"/>
      <c r="H14" s="183"/>
      <c r="I14" s="183"/>
      <c r="J14" s="183"/>
      <c r="K14" s="183"/>
      <c r="L14" s="183"/>
      <c r="M14" s="183"/>
      <c r="N14" s="183"/>
      <c r="O14" s="183"/>
      <c r="P14" s="183"/>
      <c r="Q14" s="183"/>
      <c r="R14" s="183"/>
      <c r="S14" s="183"/>
      <c r="T14" s="219" t="s">
        <v>190</v>
      </c>
      <c r="U14" s="183"/>
      <c r="V14" s="5"/>
    </row>
    <row r="15" spans="1:22" x14ac:dyDescent="0.35">
      <c r="A15" s="174"/>
      <c r="B15" s="216" t="s">
        <v>2</v>
      </c>
      <c r="C15" s="183"/>
      <c r="D15" s="400"/>
      <c r="E15" s="183"/>
      <c r="F15" s="183"/>
      <c r="G15" s="183"/>
      <c r="H15" s="185"/>
      <c r="I15" s="185"/>
      <c r="J15" s="185"/>
      <c r="K15" s="185"/>
      <c r="L15" s="185"/>
      <c r="M15" s="185"/>
      <c r="N15" s="185"/>
      <c r="O15" s="185"/>
      <c r="P15" s="220" t="s">
        <v>108</v>
      </c>
      <c r="Q15" s="221">
        <v>0.49540000000000001</v>
      </c>
      <c r="R15" s="222" t="s">
        <v>147</v>
      </c>
      <c r="S15" s="221">
        <v>0.50460000000000005</v>
      </c>
      <c r="T15" s="184"/>
      <c r="U15" s="183"/>
      <c r="V15" s="5"/>
    </row>
    <row r="16" spans="1:22" x14ac:dyDescent="0.35">
      <c r="A16" s="174"/>
      <c r="B16" s="216" t="s">
        <v>3</v>
      </c>
      <c r="C16" s="183"/>
      <c r="D16" s="183"/>
      <c r="E16" s="183"/>
      <c r="F16" s="183"/>
      <c r="G16" s="183"/>
      <c r="H16" s="185"/>
      <c r="I16" s="185"/>
      <c r="J16" s="185"/>
      <c r="K16" s="185"/>
      <c r="L16" s="185"/>
      <c r="M16" s="185"/>
      <c r="N16" s="185"/>
      <c r="O16" s="185"/>
      <c r="P16" s="220" t="s">
        <v>108</v>
      </c>
      <c r="Q16" s="221">
        <v>0.68559999999999999</v>
      </c>
      <c r="R16" s="222" t="s">
        <v>147</v>
      </c>
      <c r="S16" s="221">
        <v>0.31440000000000001</v>
      </c>
      <c r="T16" s="184"/>
      <c r="U16" s="183"/>
      <c r="V16" s="5"/>
    </row>
    <row r="17" spans="1:22" x14ac:dyDescent="0.35">
      <c r="A17" s="174"/>
      <c r="B17" s="216" t="s">
        <v>4</v>
      </c>
      <c r="C17" s="183"/>
      <c r="D17" s="399"/>
      <c r="E17" s="183"/>
      <c r="F17" s="183"/>
      <c r="G17" s="183"/>
      <c r="H17" s="183"/>
      <c r="I17" s="183"/>
      <c r="J17" s="183"/>
      <c r="K17" s="183"/>
      <c r="L17" s="183"/>
      <c r="M17" s="183"/>
      <c r="N17" s="183"/>
      <c r="O17" s="183"/>
      <c r="P17" s="183"/>
      <c r="Q17" s="183"/>
      <c r="R17" s="183"/>
      <c r="S17" s="183"/>
      <c r="T17" s="218">
        <v>38673</v>
      </c>
      <c r="U17" s="183"/>
      <c r="V17" s="5"/>
    </row>
    <row r="18" spans="1:22" x14ac:dyDescent="0.35">
      <c r="A18" s="174"/>
      <c r="B18" s="216" t="s">
        <v>5</v>
      </c>
      <c r="C18" s="183"/>
      <c r="D18" s="399"/>
      <c r="E18" s="183"/>
      <c r="F18" s="183"/>
      <c r="G18" s="183"/>
      <c r="H18" s="183"/>
      <c r="I18" s="183"/>
      <c r="J18" s="183"/>
      <c r="K18" s="183"/>
      <c r="L18" s="183"/>
      <c r="M18" s="183"/>
      <c r="N18" s="183"/>
      <c r="O18" s="183"/>
      <c r="P18" s="183"/>
      <c r="Q18" s="183"/>
      <c r="R18" s="183"/>
      <c r="S18" s="183"/>
      <c r="T18" s="218">
        <v>42996</v>
      </c>
      <c r="U18" s="183"/>
      <c r="V18" s="5"/>
    </row>
    <row r="19" spans="1:22" x14ac:dyDescent="0.35">
      <c r="A19" s="174"/>
      <c r="B19" s="176"/>
      <c r="C19" s="176"/>
      <c r="D19" s="398"/>
      <c r="E19" s="176"/>
      <c r="F19" s="176"/>
      <c r="G19" s="176"/>
      <c r="H19" s="176"/>
      <c r="I19" s="176"/>
      <c r="J19" s="176"/>
      <c r="K19" s="176"/>
      <c r="L19" s="176"/>
      <c r="M19" s="176"/>
      <c r="N19" s="176"/>
      <c r="O19" s="176"/>
      <c r="P19" s="176"/>
      <c r="Q19" s="176"/>
      <c r="R19" s="176"/>
      <c r="S19" s="176"/>
      <c r="T19" s="186"/>
      <c r="U19" s="176"/>
      <c r="V19" s="5"/>
    </row>
    <row r="20" spans="1:22" x14ac:dyDescent="0.35">
      <c r="A20" s="174"/>
      <c r="B20" s="217" t="s">
        <v>6</v>
      </c>
      <c r="C20" s="176"/>
      <c r="D20" s="176"/>
      <c r="E20" s="176"/>
      <c r="F20" s="176"/>
      <c r="G20" s="176"/>
      <c r="H20" s="176"/>
      <c r="I20" s="176"/>
      <c r="J20" s="176"/>
      <c r="K20" s="176"/>
      <c r="L20" s="176"/>
      <c r="M20" s="176"/>
      <c r="N20" s="176"/>
      <c r="O20" s="176"/>
      <c r="P20" s="176"/>
      <c r="Q20" s="176"/>
      <c r="R20" s="223" t="s">
        <v>109</v>
      </c>
      <c r="S20" s="176"/>
      <c r="T20" s="188"/>
      <c r="U20" s="176"/>
      <c r="V20" s="5"/>
    </row>
    <row r="21" spans="1:22" x14ac:dyDescent="0.35">
      <c r="A21" s="174"/>
      <c r="B21" s="176"/>
      <c r="C21" s="176"/>
      <c r="D21" s="176"/>
      <c r="E21" s="176"/>
      <c r="F21" s="176"/>
      <c r="G21" s="176"/>
      <c r="H21" s="176"/>
      <c r="I21" s="176"/>
      <c r="J21" s="176"/>
      <c r="K21" s="176"/>
      <c r="L21" s="176"/>
      <c r="M21" s="176"/>
      <c r="N21" s="176"/>
      <c r="O21" s="176"/>
      <c r="P21" s="176"/>
      <c r="Q21" s="176"/>
      <c r="R21" s="176"/>
      <c r="S21" s="176"/>
      <c r="T21" s="189"/>
      <c r="U21" s="176"/>
      <c r="V21" s="5"/>
    </row>
    <row r="22" spans="1:22" x14ac:dyDescent="0.35">
      <c r="A22" s="252"/>
      <c r="B22" s="253"/>
      <c r="C22" s="254"/>
      <c r="D22" s="254" t="s">
        <v>191</v>
      </c>
      <c r="E22" s="254"/>
      <c r="F22" s="254" t="s">
        <v>192</v>
      </c>
      <c r="G22" s="254"/>
      <c r="H22" s="254" t="s">
        <v>193</v>
      </c>
      <c r="I22" s="254"/>
      <c r="J22" s="254" t="s">
        <v>194</v>
      </c>
      <c r="K22" s="254"/>
      <c r="L22" s="254" t="s">
        <v>195</v>
      </c>
      <c r="M22" s="254"/>
      <c r="N22" s="254" t="s">
        <v>196</v>
      </c>
      <c r="O22" s="254"/>
      <c r="P22" s="254" t="s">
        <v>197</v>
      </c>
      <c r="Q22" s="256"/>
      <c r="R22" s="256"/>
      <c r="S22" s="257"/>
      <c r="T22" s="257"/>
      <c r="U22" s="253"/>
      <c r="V22" s="5"/>
    </row>
    <row r="23" spans="1:22" x14ac:dyDescent="0.35">
      <c r="A23" s="278"/>
      <c r="B23" s="279" t="s">
        <v>7</v>
      </c>
      <c r="C23" s="280"/>
      <c r="D23" s="280" t="s">
        <v>256</v>
      </c>
      <c r="E23" s="280"/>
      <c r="F23" s="280" t="s">
        <v>148</v>
      </c>
      <c r="G23" s="280"/>
      <c r="H23" s="280" t="s">
        <v>148</v>
      </c>
      <c r="I23" s="280"/>
      <c r="J23" s="280" t="s">
        <v>198</v>
      </c>
      <c r="K23" s="280"/>
      <c r="L23" s="280" t="s">
        <v>198</v>
      </c>
      <c r="M23" s="280"/>
      <c r="N23" s="280" t="s">
        <v>149</v>
      </c>
      <c r="O23" s="280"/>
      <c r="P23" s="280" t="s">
        <v>149</v>
      </c>
      <c r="Q23" s="280"/>
      <c r="R23" s="280"/>
      <c r="S23" s="281"/>
      <c r="T23" s="281"/>
      <c r="U23" s="282"/>
      <c r="V23" s="5"/>
    </row>
    <row r="24" spans="1:22" x14ac:dyDescent="0.35">
      <c r="A24" s="278"/>
      <c r="B24" s="279" t="s">
        <v>8</v>
      </c>
      <c r="C24" s="280"/>
      <c r="D24" s="280" t="s">
        <v>257</v>
      </c>
      <c r="E24" s="280"/>
      <c r="F24" s="280" t="s">
        <v>150</v>
      </c>
      <c r="G24" s="280"/>
      <c r="H24" s="280" t="s">
        <v>150</v>
      </c>
      <c r="I24" s="280"/>
      <c r="J24" s="280" t="s">
        <v>175</v>
      </c>
      <c r="K24" s="280"/>
      <c r="L24" s="280" t="s">
        <v>175</v>
      </c>
      <c r="M24" s="280"/>
      <c r="N24" s="280" t="s">
        <v>151</v>
      </c>
      <c r="O24" s="280"/>
      <c r="P24" s="280" t="s">
        <v>151</v>
      </c>
      <c r="Q24" s="280"/>
      <c r="R24" s="280"/>
      <c r="S24" s="281"/>
      <c r="T24" s="281"/>
      <c r="U24" s="282"/>
      <c r="V24" s="5"/>
    </row>
    <row r="25" spans="1:22" x14ac:dyDescent="0.35">
      <c r="A25" s="283"/>
      <c r="B25" s="279" t="s">
        <v>223</v>
      </c>
      <c r="C25" s="384"/>
      <c r="D25" s="280" t="s">
        <v>258</v>
      </c>
      <c r="E25" s="280"/>
      <c r="F25" s="280" t="s">
        <v>150</v>
      </c>
      <c r="G25" s="280"/>
      <c r="H25" s="280" t="s">
        <v>150</v>
      </c>
      <c r="I25" s="280"/>
      <c r="J25" s="280" t="s">
        <v>175</v>
      </c>
      <c r="K25" s="280"/>
      <c r="L25" s="280" t="s">
        <v>175</v>
      </c>
      <c r="M25" s="280"/>
      <c r="N25" s="280" t="s">
        <v>151</v>
      </c>
      <c r="O25" s="280"/>
      <c r="P25" s="280" t="s">
        <v>151</v>
      </c>
      <c r="Q25" s="384"/>
      <c r="R25" s="280"/>
      <c r="S25" s="281"/>
      <c r="T25" s="281"/>
      <c r="U25" s="282"/>
      <c r="V25" s="5"/>
    </row>
    <row r="26" spans="1:22" x14ac:dyDescent="0.35">
      <c r="A26" s="283"/>
      <c r="B26" s="286" t="s">
        <v>9</v>
      </c>
      <c r="C26" s="384"/>
      <c r="D26" s="384" t="s">
        <v>148</v>
      </c>
      <c r="E26" s="384"/>
      <c r="F26" s="384" t="s">
        <v>148</v>
      </c>
      <c r="G26" s="384"/>
      <c r="H26" s="384" t="s">
        <v>148</v>
      </c>
      <c r="I26" s="384"/>
      <c r="J26" s="384" t="s">
        <v>198</v>
      </c>
      <c r="K26" s="384"/>
      <c r="L26" s="384" t="s">
        <v>198</v>
      </c>
      <c r="M26" s="384"/>
      <c r="N26" s="384" t="s">
        <v>149</v>
      </c>
      <c r="O26" s="384"/>
      <c r="P26" s="384" t="s">
        <v>149</v>
      </c>
      <c r="Q26" s="384"/>
      <c r="R26" s="280"/>
      <c r="S26" s="281"/>
      <c r="T26" s="281"/>
      <c r="U26" s="282"/>
      <c r="V26" s="5"/>
    </row>
    <row r="27" spans="1:22" x14ac:dyDescent="0.35">
      <c r="A27" s="278"/>
      <c r="B27" s="286" t="s">
        <v>224</v>
      </c>
      <c r="C27" s="280"/>
      <c r="D27" s="384" t="s">
        <v>175</v>
      </c>
      <c r="E27" s="384"/>
      <c r="F27" s="384" t="s">
        <v>175</v>
      </c>
      <c r="G27" s="384"/>
      <c r="H27" s="384" t="s">
        <v>175</v>
      </c>
      <c r="I27" s="384"/>
      <c r="J27" s="384" t="s">
        <v>320</v>
      </c>
      <c r="K27" s="384"/>
      <c r="L27" s="384" t="s">
        <v>320</v>
      </c>
      <c r="M27" s="384"/>
      <c r="N27" s="384" t="s">
        <v>151</v>
      </c>
      <c r="O27" s="384"/>
      <c r="P27" s="384" t="s">
        <v>151</v>
      </c>
      <c r="Q27" s="280"/>
      <c r="R27" s="287"/>
      <c r="S27" s="281"/>
      <c r="T27" s="281"/>
      <c r="U27" s="282"/>
      <c r="V27" s="5"/>
    </row>
    <row r="28" spans="1:22" x14ac:dyDescent="0.35">
      <c r="A28" s="278"/>
      <c r="B28" s="286" t="s">
        <v>225</v>
      </c>
      <c r="C28" s="280"/>
      <c r="D28" s="384" t="s">
        <v>150</v>
      </c>
      <c r="E28" s="384"/>
      <c r="F28" s="384" t="s">
        <v>150</v>
      </c>
      <c r="G28" s="384"/>
      <c r="H28" s="384" t="s">
        <v>150</v>
      </c>
      <c r="I28" s="384"/>
      <c r="J28" s="384" t="s">
        <v>150</v>
      </c>
      <c r="K28" s="384"/>
      <c r="L28" s="384" t="s">
        <v>150</v>
      </c>
      <c r="M28" s="384"/>
      <c r="N28" s="384" t="s">
        <v>151</v>
      </c>
      <c r="O28" s="384"/>
      <c r="P28" s="384" t="s">
        <v>151</v>
      </c>
      <c r="Q28" s="280"/>
      <c r="R28" s="287"/>
      <c r="S28" s="281"/>
      <c r="T28" s="281"/>
      <c r="U28" s="282"/>
      <c r="V28" s="5"/>
    </row>
    <row r="29" spans="1:22" x14ac:dyDescent="0.35">
      <c r="A29" s="278"/>
      <c r="B29" s="279" t="s">
        <v>10</v>
      </c>
      <c r="C29" s="289"/>
      <c r="D29" s="280" t="s">
        <v>199</v>
      </c>
      <c r="E29" s="280"/>
      <c r="F29" s="287" t="s">
        <v>200</v>
      </c>
      <c r="G29" s="280"/>
      <c r="H29" s="280" t="s">
        <v>201</v>
      </c>
      <c r="I29" s="280"/>
      <c r="J29" s="280" t="s">
        <v>202</v>
      </c>
      <c r="K29" s="280"/>
      <c r="L29" s="280" t="s">
        <v>203</v>
      </c>
      <c r="M29" s="280"/>
      <c r="N29" s="280" t="s">
        <v>204</v>
      </c>
      <c r="O29" s="280"/>
      <c r="P29" s="280" t="s">
        <v>205</v>
      </c>
      <c r="Q29" s="290"/>
      <c r="R29" s="290"/>
      <c r="S29" s="291"/>
      <c r="T29" s="290"/>
      <c r="U29" s="292"/>
      <c r="V29" s="5"/>
    </row>
    <row r="30" spans="1:22" x14ac:dyDescent="0.35">
      <c r="A30" s="278"/>
      <c r="B30" s="279" t="s">
        <v>10</v>
      </c>
      <c r="C30" s="289"/>
      <c r="D30" s="280" t="s">
        <v>206</v>
      </c>
      <c r="E30" s="280"/>
      <c r="F30" s="287" t="s">
        <v>125</v>
      </c>
      <c r="G30" s="280"/>
      <c r="H30" s="280" t="s">
        <v>125</v>
      </c>
      <c r="I30" s="280"/>
      <c r="J30" s="280" t="s">
        <v>125</v>
      </c>
      <c r="K30" s="280"/>
      <c r="L30" s="280" t="s">
        <v>125</v>
      </c>
      <c r="M30" s="280"/>
      <c r="N30" s="280" t="s">
        <v>125</v>
      </c>
      <c r="O30" s="280"/>
      <c r="P30" s="280" t="s">
        <v>125</v>
      </c>
      <c r="Q30" s="290"/>
      <c r="R30" s="290"/>
      <c r="S30" s="291"/>
      <c r="T30" s="290"/>
      <c r="U30" s="292"/>
      <c r="V30" s="5"/>
    </row>
    <row r="31" spans="1:22" x14ac:dyDescent="0.35">
      <c r="A31" s="283"/>
      <c r="B31" s="279" t="s">
        <v>140</v>
      </c>
      <c r="C31" s="293"/>
      <c r="D31" s="294">
        <v>1100000</v>
      </c>
      <c r="E31" s="289"/>
      <c r="F31" s="290">
        <v>105000</v>
      </c>
      <c r="G31" s="290"/>
      <c r="H31" s="295">
        <v>222000</v>
      </c>
      <c r="I31" s="290"/>
      <c r="J31" s="290">
        <v>31000</v>
      </c>
      <c r="K31" s="290"/>
      <c r="L31" s="295">
        <v>19500</v>
      </c>
      <c r="M31" s="290"/>
      <c r="N31" s="296">
        <v>51500</v>
      </c>
      <c r="O31" s="290"/>
      <c r="P31" s="295">
        <v>27500</v>
      </c>
      <c r="Q31" s="297"/>
      <c r="R31" s="297"/>
      <c r="S31" s="298"/>
      <c r="T31" s="297"/>
      <c r="U31" s="292"/>
      <c r="V31" s="5"/>
    </row>
    <row r="32" spans="1:22" x14ac:dyDescent="0.35">
      <c r="A32" s="278"/>
      <c r="B32" s="279" t="s">
        <v>139</v>
      </c>
      <c r="C32" s="289"/>
      <c r="D32" s="290">
        <f>D34*D38</f>
        <v>32341.208725600001</v>
      </c>
      <c r="E32" s="289"/>
      <c r="F32" s="290">
        <f>F31*F38</f>
        <v>105000</v>
      </c>
      <c r="G32" s="290"/>
      <c r="H32" s="295">
        <f>H31*H38</f>
        <v>222000</v>
      </c>
      <c r="I32" s="290"/>
      <c r="J32" s="290">
        <f>J31*J38</f>
        <v>23155.759999999998</v>
      </c>
      <c r="K32" s="290"/>
      <c r="L32" s="295">
        <f>L31*L38</f>
        <v>14565.72</v>
      </c>
      <c r="M32" s="290"/>
      <c r="N32" s="296">
        <f>N31*N38</f>
        <v>38468.439999999995</v>
      </c>
      <c r="O32" s="290"/>
      <c r="P32" s="295">
        <f>P31*P38</f>
        <v>20541.399999999998</v>
      </c>
      <c r="Q32" s="290"/>
      <c r="R32" s="290"/>
      <c r="S32" s="291"/>
      <c r="T32" s="290"/>
      <c r="U32" s="292"/>
      <c r="V32" s="5"/>
    </row>
    <row r="33" spans="1:26" x14ac:dyDescent="0.35">
      <c r="A33" s="278"/>
      <c r="B33" s="286" t="s">
        <v>141</v>
      </c>
      <c r="C33" s="289"/>
      <c r="D33" s="396">
        <f>D34*D37</f>
        <v>28834.650020800003</v>
      </c>
      <c r="E33" s="293"/>
      <c r="F33" s="297">
        <f>F37*F31</f>
        <v>105000</v>
      </c>
      <c r="G33" s="297"/>
      <c r="H33" s="300">
        <f>H31*H37</f>
        <v>222000</v>
      </c>
      <c r="I33" s="297"/>
      <c r="J33" s="297">
        <f>J31*J37</f>
        <v>22873.1764</v>
      </c>
      <c r="K33" s="297"/>
      <c r="L33" s="300">
        <f>L31*L37</f>
        <v>14387.9658</v>
      </c>
      <c r="M33" s="297"/>
      <c r="N33" s="297">
        <f>N31*N37</f>
        <v>37998.986599999997</v>
      </c>
      <c r="O33" s="297"/>
      <c r="P33" s="300">
        <f>P31*P37</f>
        <v>20290.720999999998</v>
      </c>
      <c r="Q33" s="290"/>
      <c r="R33" s="290"/>
      <c r="S33" s="291"/>
      <c r="T33" s="290"/>
      <c r="U33" s="292"/>
      <c r="V33" s="5"/>
    </row>
    <row r="34" spans="1:26" x14ac:dyDescent="0.35">
      <c r="A34" s="283"/>
      <c r="B34" s="279" t="s">
        <v>296</v>
      </c>
      <c r="C34" s="293"/>
      <c r="D34" s="290">
        <v>631096</v>
      </c>
      <c r="E34" s="289"/>
      <c r="F34" s="290">
        <v>105000</v>
      </c>
      <c r="G34" s="290"/>
      <c r="H34" s="290">
        <v>150000</v>
      </c>
      <c r="I34" s="290"/>
      <c r="J34" s="290">
        <v>31000</v>
      </c>
      <c r="K34" s="290"/>
      <c r="L34" s="290">
        <v>13176</v>
      </c>
      <c r="M34" s="290"/>
      <c r="N34" s="290">
        <v>51500</v>
      </c>
      <c r="O34" s="290"/>
      <c r="P34" s="290">
        <v>18581</v>
      </c>
      <c r="Q34" s="297"/>
      <c r="R34" s="297"/>
      <c r="S34" s="298"/>
      <c r="T34" s="290">
        <f>SUM(C34:P34)</f>
        <v>1000353</v>
      </c>
      <c r="U34" s="292"/>
      <c r="V34" s="5"/>
      <c r="X34" s="397"/>
      <c r="Z34" s="397"/>
    </row>
    <row r="35" spans="1:26" x14ac:dyDescent="0.35">
      <c r="A35" s="283"/>
      <c r="B35" s="279" t="s">
        <v>297</v>
      </c>
      <c r="C35" s="293"/>
      <c r="D35" s="290">
        <f>D34*D38</f>
        <v>32341.208725600001</v>
      </c>
      <c r="E35" s="289"/>
      <c r="F35" s="290">
        <f>F34*F38</f>
        <v>105000</v>
      </c>
      <c r="G35" s="290"/>
      <c r="H35" s="290">
        <f>H34*H38</f>
        <v>150000</v>
      </c>
      <c r="I35" s="290"/>
      <c r="J35" s="290">
        <f>J32</f>
        <v>23155.759999999998</v>
      </c>
      <c r="K35" s="290"/>
      <c r="L35" s="290">
        <f>L34*L38</f>
        <v>9841.9449599999989</v>
      </c>
      <c r="M35" s="290"/>
      <c r="N35" s="290">
        <f>N32</f>
        <v>38468.439999999995</v>
      </c>
      <c r="O35" s="290"/>
      <c r="P35" s="290">
        <f>P34*P38</f>
        <v>13879.26376</v>
      </c>
      <c r="Q35" s="290"/>
      <c r="R35" s="290"/>
      <c r="S35" s="291"/>
      <c r="T35" s="290">
        <f>SUM(C35:P35)</f>
        <v>372686.61744560004</v>
      </c>
      <c r="U35" s="292"/>
      <c r="V35" s="5"/>
      <c r="X35" s="397"/>
      <c r="Z35" s="397"/>
    </row>
    <row r="36" spans="1:26" x14ac:dyDescent="0.35">
      <c r="A36" s="283"/>
      <c r="B36" s="286" t="s">
        <v>298</v>
      </c>
      <c r="C36" s="293"/>
      <c r="D36" s="297">
        <f>D37*D34</f>
        <v>28834.650020800003</v>
      </c>
      <c r="E36" s="293"/>
      <c r="F36" s="297">
        <f>F37*F34</f>
        <v>105000</v>
      </c>
      <c r="G36" s="297"/>
      <c r="H36" s="297">
        <f>H37*H34</f>
        <v>150000</v>
      </c>
      <c r="I36" s="297"/>
      <c r="J36" s="297">
        <f>J37*J34</f>
        <v>22873.1764</v>
      </c>
      <c r="K36" s="297"/>
      <c r="L36" s="297">
        <f>L37*L34</f>
        <v>9721.8378143999998</v>
      </c>
      <c r="M36" s="297"/>
      <c r="N36" s="297">
        <f>N37*N34</f>
        <v>37998.986599999997</v>
      </c>
      <c r="O36" s="297"/>
      <c r="P36" s="297">
        <f>P34*P37</f>
        <v>13709.886796399998</v>
      </c>
      <c r="Q36" s="322"/>
      <c r="R36" s="322"/>
      <c r="S36" s="291"/>
      <c r="T36" s="297">
        <f>SUM(C36:P36)</f>
        <v>368138.53763159999</v>
      </c>
      <c r="U36" s="292"/>
      <c r="V36" s="5"/>
      <c r="X36" s="397"/>
      <c r="Z36" s="397"/>
    </row>
    <row r="37" spans="1:26" x14ac:dyDescent="0.35">
      <c r="A37" s="305"/>
      <c r="B37" s="306" t="s">
        <v>137</v>
      </c>
      <c r="C37" s="307"/>
      <c r="D37" s="308">
        <v>4.5689800000000003E-2</v>
      </c>
      <c r="E37" s="309"/>
      <c r="F37" s="308">
        <v>1</v>
      </c>
      <c r="G37" s="308"/>
      <c r="H37" s="308">
        <v>1</v>
      </c>
      <c r="I37" s="308"/>
      <c r="J37" s="308">
        <v>0.73784439999999996</v>
      </c>
      <c r="K37" s="308"/>
      <c r="L37" s="308">
        <v>0.73784439999999996</v>
      </c>
      <c r="M37" s="308"/>
      <c r="N37" s="308">
        <v>0.73784439999999996</v>
      </c>
      <c r="O37" s="308"/>
      <c r="P37" s="308">
        <v>0.73784439999999996</v>
      </c>
      <c r="Q37" s="310"/>
      <c r="R37" s="310"/>
      <c r="S37" s="311"/>
      <c r="T37" s="311"/>
      <c r="U37" s="312"/>
      <c r="V37" s="5"/>
    </row>
    <row r="38" spans="1:26" x14ac:dyDescent="0.35">
      <c r="A38" s="305"/>
      <c r="B38" s="306" t="s">
        <v>138</v>
      </c>
      <c r="C38" s="307"/>
      <c r="D38" s="308">
        <v>5.1246100000000003E-2</v>
      </c>
      <c r="E38" s="309"/>
      <c r="F38" s="308">
        <v>1</v>
      </c>
      <c r="G38" s="308"/>
      <c r="H38" s="308">
        <v>1</v>
      </c>
      <c r="I38" s="308"/>
      <c r="J38" s="308">
        <v>0.74695999999999996</v>
      </c>
      <c r="K38" s="308"/>
      <c r="L38" s="308">
        <v>0.74695999999999996</v>
      </c>
      <c r="M38" s="308"/>
      <c r="N38" s="308">
        <v>0.74695999999999996</v>
      </c>
      <c r="O38" s="308"/>
      <c r="P38" s="308">
        <v>0.74695999999999996</v>
      </c>
      <c r="Q38" s="313"/>
      <c r="R38" s="314"/>
      <c r="S38" s="311"/>
      <c r="T38" s="313"/>
      <c r="U38" s="312"/>
      <c r="V38" s="5"/>
    </row>
    <row r="39" spans="1:26" x14ac:dyDescent="0.35">
      <c r="A39" s="278"/>
      <c r="B39" s="279" t="s">
        <v>11</v>
      </c>
      <c r="C39" s="279"/>
      <c r="D39" s="287" t="s">
        <v>283</v>
      </c>
      <c r="E39" s="279"/>
      <c r="F39" s="287" t="s">
        <v>179</v>
      </c>
      <c r="G39" s="287"/>
      <c r="H39" s="287" t="s">
        <v>179</v>
      </c>
      <c r="I39" s="287"/>
      <c r="J39" s="287" t="s">
        <v>210</v>
      </c>
      <c r="K39" s="287"/>
      <c r="L39" s="287" t="s">
        <v>210</v>
      </c>
      <c r="M39" s="287"/>
      <c r="N39" s="287" t="s">
        <v>211</v>
      </c>
      <c r="O39" s="287"/>
      <c r="P39" s="287" t="s">
        <v>211</v>
      </c>
      <c r="Q39" s="315"/>
      <c r="R39" s="316"/>
      <c r="S39" s="281"/>
      <c r="T39" s="281"/>
      <c r="U39" s="282"/>
      <c r="V39" s="5"/>
    </row>
    <row r="40" spans="1:26" x14ac:dyDescent="0.35">
      <c r="A40" s="278"/>
      <c r="B40" s="279" t="s">
        <v>12</v>
      </c>
      <c r="C40" s="279"/>
      <c r="D40" s="316">
        <v>3.7869000000000002E-3</v>
      </c>
      <c r="E40" s="279"/>
      <c r="F40" s="316">
        <v>6.0869000000000001E-3</v>
      </c>
      <c r="G40" s="315"/>
      <c r="H40" s="316">
        <v>0</v>
      </c>
      <c r="I40" s="315"/>
      <c r="J40" s="316">
        <v>8.2868999999999998E-3</v>
      </c>
      <c r="K40" s="315"/>
      <c r="L40" s="316">
        <v>2.0899999999999998E-3</v>
      </c>
      <c r="M40" s="315"/>
      <c r="N40" s="316">
        <v>1.3886900000000001E-2</v>
      </c>
      <c r="O40" s="315"/>
      <c r="P40" s="316">
        <v>7.6899999999999998E-3</v>
      </c>
      <c r="Q40" s="315"/>
      <c r="R40" s="316"/>
      <c r="S40" s="281"/>
      <c r="T40" s="287"/>
      <c r="U40" s="282"/>
      <c r="V40" s="5"/>
    </row>
    <row r="41" spans="1:26" x14ac:dyDescent="0.35">
      <c r="A41" s="278"/>
      <c r="B41" s="279" t="s">
        <v>13</v>
      </c>
      <c r="C41" s="279"/>
      <c r="D41" s="316">
        <v>4.3388000000000003E-3</v>
      </c>
      <c r="E41" s="279"/>
      <c r="F41" s="316">
        <v>6.6388000000000003E-3</v>
      </c>
      <c r="G41" s="315"/>
      <c r="H41" s="316">
        <v>0</v>
      </c>
      <c r="I41" s="315"/>
      <c r="J41" s="316">
        <v>8.8388000000000008E-3</v>
      </c>
      <c r="K41" s="315"/>
      <c r="L41" s="316">
        <v>2.0999999999999999E-3</v>
      </c>
      <c r="M41" s="315"/>
      <c r="N41" s="316">
        <v>1.44388E-2</v>
      </c>
      <c r="O41" s="315"/>
      <c r="P41" s="316">
        <v>7.7000000000000002E-3</v>
      </c>
      <c r="Q41" s="315"/>
      <c r="R41" s="316"/>
      <c r="S41" s="281"/>
      <c r="T41" s="315" t="s">
        <v>226</v>
      </c>
      <c r="U41" s="282"/>
      <c r="V41" s="5"/>
    </row>
    <row r="42" spans="1:26" x14ac:dyDescent="0.35">
      <c r="A42" s="278"/>
      <c r="B42" s="279" t="s">
        <v>299</v>
      </c>
      <c r="C42" s="279"/>
      <c r="D42" s="287" t="s">
        <v>283</v>
      </c>
      <c r="E42" s="279"/>
      <c r="F42" s="287" t="s">
        <v>179</v>
      </c>
      <c r="G42" s="287"/>
      <c r="H42" s="287" t="s">
        <v>239</v>
      </c>
      <c r="I42" s="287"/>
      <c r="J42" s="287" t="s">
        <v>210</v>
      </c>
      <c r="K42" s="287"/>
      <c r="L42" s="287" t="s">
        <v>236</v>
      </c>
      <c r="M42" s="287"/>
      <c r="N42" s="287" t="s">
        <v>211</v>
      </c>
      <c r="O42" s="287"/>
      <c r="P42" s="287" t="s">
        <v>240</v>
      </c>
      <c r="Q42" s="315"/>
      <c r="R42" s="316"/>
      <c r="S42" s="281"/>
      <c r="T42" s="281"/>
      <c r="U42" s="282"/>
      <c r="V42" s="5"/>
    </row>
    <row r="43" spans="1:26" x14ac:dyDescent="0.35">
      <c r="A43" s="278"/>
      <c r="B43" s="279" t="s">
        <v>300</v>
      </c>
      <c r="C43" s="317"/>
      <c r="D43" s="316">
        <f>+D40</f>
        <v>3.7869000000000002E-3</v>
      </c>
      <c r="E43" s="279"/>
      <c r="F43" s="316">
        <f>+F40</f>
        <v>6.0869000000000001E-3</v>
      </c>
      <c r="G43" s="315"/>
      <c r="H43" s="316">
        <v>6.5369E-3</v>
      </c>
      <c r="I43" s="315"/>
      <c r="J43" s="316">
        <f>+J40</f>
        <v>8.2868999999999998E-3</v>
      </c>
      <c r="K43" s="315"/>
      <c r="L43" s="316">
        <v>9.0168999999999996E-3</v>
      </c>
      <c r="M43" s="315"/>
      <c r="N43" s="316">
        <f>+N40</f>
        <v>1.3886900000000001E-2</v>
      </c>
      <c r="O43" s="315"/>
      <c r="P43" s="316">
        <v>1.5116900000000001E-2</v>
      </c>
      <c r="Q43" s="287"/>
      <c r="R43" s="287"/>
      <c r="S43" s="281"/>
      <c r="T43" s="315">
        <f>SUMPRODUCT(D43:P43,D35:P35)/T35</f>
        <v>7.4238902515736359E-3</v>
      </c>
      <c r="U43" s="282"/>
      <c r="V43" s="5"/>
    </row>
    <row r="44" spans="1:26" x14ac:dyDescent="0.35">
      <c r="A44" s="278"/>
      <c r="B44" s="279" t="s">
        <v>301</v>
      </c>
      <c r="C44" s="317"/>
      <c r="D44" s="316">
        <f>+D41</f>
        <v>4.3388000000000003E-3</v>
      </c>
      <c r="E44" s="279"/>
      <c r="F44" s="316">
        <f>+F41</f>
        <v>6.6388000000000003E-3</v>
      </c>
      <c r="G44" s="315"/>
      <c r="H44" s="316">
        <v>7.0888000000000001E-3</v>
      </c>
      <c r="I44" s="315"/>
      <c r="J44" s="316">
        <f>+J41</f>
        <v>8.8388000000000008E-3</v>
      </c>
      <c r="K44" s="315"/>
      <c r="L44" s="316">
        <v>9.5688000000000006E-3</v>
      </c>
      <c r="M44" s="315"/>
      <c r="N44" s="316">
        <f>+N41</f>
        <v>1.44388E-2</v>
      </c>
      <c r="O44" s="315"/>
      <c r="P44" s="316">
        <v>1.56688E-2</v>
      </c>
      <c r="Q44" s="287"/>
      <c r="R44" s="287"/>
      <c r="S44" s="281"/>
      <c r="T44" s="281"/>
      <c r="U44" s="282"/>
      <c r="V44" s="5"/>
    </row>
    <row r="45" spans="1:26" x14ac:dyDescent="0.35">
      <c r="A45" s="278"/>
      <c r="B45" s="279" t="s">
        <v>14</v>
      </c>
      <c r="C45" s="279"/>
      <c r="D45" s="317">
        <v>40162</v>
      </c>
      <c r="E45" s="317"/>
      <c r="F45" s="317">
        <v>40162</v>
      </c>
      <c r="G45" s="317"/>
      <c r="H45" s="317">
        <v>40162</v>
      </c>
      <c r="I45" s="317"/>
      <c r="J45" s="317">
        <v>40162</v>
      </c>
      <c r="K45" s="317"/>
      <c r="L45" s="317">
        <v>40162</v>
      </c>
      <c r="M45" s="317"/>
      <c r="N45" s="317">
        <v>40162</v>
      </c>
      <c r="O45" s="317"/>
      <c r="P45" s="317">
        <v>40162</v>
      </c>
      <c r="Q45" s="287"/>
      <c r="R45" s="287"/>
      <c r="S45" s="281"/>
      <c r="T45" s="281"/>
      <c r="U45" s="282"/>
      <c r="V45" s="5"/>
    </row>
    <row r="46" spans="1:26" x14ac:dyDescent="0.35">
      <c r="A46" s="278"/>
      <c r="B46" s="279" t="s">
        <v>15</v>
      </c>
      <c r="C46" s="279"/>
      <c r="D46" s="317">
        <v>40527</v>
      </c>
      <c r="E46" s="317"/>
      <c r="F46" s="317">
        <v>40527</v>
      </c>
      <c r="G46" s="317"/>
      <c r="H46" s="317">
        <v>40527</v>
      </c>
      <c r="I46" s="287"/>
      <c r="J46" s="317">
        <v>40527</v>
      </c>
      <c r="K46" s="287"/>
      <c r="L46" s="317">
        <v>40527</v>
      </c>
      <c r="M46" s="287"/>
      <c r="N46" s="317">
        <v>40527</v>
      </c>
      <c r="O46" s="287"/>
      <c r="P46" s="317">
        <v>40527</v>
      </c>
      <c r="Q46" s="287"/>
      <c r="R46" s="287"/>
      <c r="S46" s="281"/>
      <c r="T46" s="281"/>
      <c r="U46" s="282"/>
      <c r="V46" s="5"/>
    </row>
    <row r="47" spans="1:26" x14ac:dyDescent="0.35">
      <c r="A47" s="278"/>
      <c r="B47" s="279" t="s">
        <v>126</v>
      </c>
      <c r="C47" s="279"/>
      <c r="D47" s="287" t="s">
        <v>125</v>
      </c>
      <c r="E47" s="279"/>
      <c r="F47" s="287" t="s">
        <v>179</v>
      </c>
      <c r="G47" s="287"/>
      <c r="H47" s="287" t="s">
        <v>179</v>
      </c>
      <c r="I47" s="287"/>
      <c r="J47" s="287" t="s">
        <v>210</v>
      </c>
      <c r="K47" s="287"/>
      <c r="L47" s="287" t="s">
        <v>210</v>
      </c>
      <c r="M47" s="287"/>
      <c r="N47" s="287" t="s">
        <v>211</v>
      </c>
      <c r="O47" s="287"/>
      <c r="P47" s="287" t="s">
        <v>211</v>
      </c>
      <c r="Q47" s="319"/>
      <c r="R47" s="319"/>
      <c r="S47" s="319"/>
      <c r="T47" s="319"/>
      <c r="U47" s="282"/>
      <c r="V47" s="5"/>
    </row>
    <row r="48" spans="1:26" x14ac:dyDescent="0.35">
      <c r="A48" s="278"/>
      <c r="B48" s="279" t="s">
        <v>302</v>
      </c>
      <c r="C48" s="279"/>
      <c r="D48" s="287" t="s">
        <v>125</v>
      </c>
      <c r="E48" s="279"/>
      <c r="F48" s="287" t="s">
        <v>179</v>
      </c>
      <c r="G48" s="287"/>
      <c r="H48" s="287" t="s">
        <v>239</v>
      </c>
      <c r="I48" s="287"/>
      <c r="J48" s="287" t="s">
        <v>210</v>
      </c>
      <c r="K48" s="287"/>
      <c r="L48" s="287" t="s">
        <v>236</v>
      </c>
      <c r="M48" s="287"/>
      <c r="N48" s="287" t="s">
        <v>211</v>
      </c>
      <c r="O48" s="287"/>
      <c r="P48" s="287" t="s">
        <v>240</v>
      </c>
      <c r="Q48" s="279"/>
      <c r="R48" s="279"/>
      <c r="S48" s="279"/>
      <c r="T48" s="315"/>
      <c r="U48" s="282"/>
      <c r="V48" s="5"/>
    </row>
    <row r="49" spans="1:23" x14ac:dyDescent="0.35">
      <c r="A49" s="278"/>
      <c r="B49" s="279"/>
      <c r="C49" s="279"/>
      <c r="D49" s="287"/>
      <c r="E49" s="279"/>
      <c r="F49" s="287"/>
      <c r="G49" s="287"/>
      <c r="H49" s="287"/>
      <c r="I49" s="287"/>
      <c r="J49" s="287"/>
      <c r="K49" s="287"/>
      <c r="L49" s="287"/>
      <c r="M49" s="287"/>
      <c r="N49" s="287"/>
      <c r="O49" s="287"/>
      <c r="P49" s="287"/>
      <c r="Q49" s="279"/>
      <c r="R49" s="279"/>
      <c r="S49" s="279"/>
      <c r="T49" s="315" t="s">
        <v>226</v>
      </c>
      <c r="U49" s="282"/>
      <c r="V49" s="5"/>
    </row>
    <row r="50" spans="1:23" x14ac:dyDescent="0.35">
      <c r="A50" s="278"/>
      <c r="B50" s="279" t="s">
        <v>180</v>
      </c>
      <c r="C50" s="279"/>
      <c r="D50" s="287"/>
      <c r="E50" s="279"/>
      <c r="F50" s="287"/>
      <c r="G50" s="287"/>
      <c r="H50" s="287"/>
      <c r="I50" s="287"/>
      <c r="J50" s="287"/>
      <c r="K50" s="287"/>
      <c r="L50" s="287"/>
      <c r="M50" s="287"/>
      <c r="N50" s="287"/>
      <c r="O50" s="287"/>
      <c r="P50" s="287"/>
      <c r="Q50" s="279"/>
      <c r="R50" s="279"/>
      <c r="S50" s="279"/>
      <c r="T50" s="315">
        <f>SUM(J34:P34)/SUM(D34:H34)</f>
        <v>0.12894426788970947</v>
      </c>
      <c r="U50" s="282"/>
      <c r="V50" s="5"/>
    </row>
    <row r="51" spans="1:23" x14ac:dyDescent="0.35">
      <c r="A51" s="278"/>
      <c r="B51" s="279" t="s">
        <v>181</v>
      </c>
      <c r="C51" s="279"/>
      <c r="D51" s="279"/>
      <c r="E51" s="279"/>
      <c r="F51" s="320"/>
      <c r="G51" s="279"/>
      <c r="H51" s="279"/>
      <c r="I51" s="279"/>
      <c r="J51" s="279"/>
      <c r="K51" s="279"/>
      <c r="L51" s="279"/>
      <c r="M51" s="279"/>
      <c r="N51" s="279"/>
      <c r="O51" s="279"/>
      <c r="P51" s="279"/>
      <c r="Q51" s="279"/>
      <c r="R51" s="279"/>
      <c r="S51" s="279"/>
      <c r="T51" s="315">
        <f>SUM(J36:P36)/SUM(D36:H36)</f>
        <v>0.29701760375141661</v>
      </c>
      <c r="U51" s="282"/>
      <c r="V51" s="5"/>
    </row>
    <row r="52" spans="1:23" x14ac:dyDescent="0.35">
      <c r="A52" s="278"/>
      <c r="B52" s="279" t="s">
        <v>182</v>
      </c>
      <c r="C52" s="279"/>
      <c r="D52" s="279"/>
      <c r="E52" s="279"/>
      <c r="F52" s="279"/>
      <c r="G52" s="279"/>
      <c r="H52" s="279"/>
      <c r="I52" s="279"/>
      <c r="J52" s="279"/>
      <c r="K52" s="279"/>
      <c r="L52" s="279"/>
      <c r="M52" s="279"/>
      <c r="N52" s="279"/>
      <c r="O52" s="279"/>
      <c r="P52" s="279"/>
      <c r="Q52" s="279"/>
      <c r="R52" s="287" t="s">
        <v>110</v>
      </c>
      <c r="S52" s="287" t="s">
        <v>116</v>
      </c>
      <c r="T52" s="395">
        <f>+T34/2-SUM(J34:P34)</f>
        <v>385919.5</v>
      </c>
      <c r="U52" s="282"/>
      <c r="V52" s="5"/>
    </row>
    <row r="53" spans="1:23" x14ac:dyDescent="0.35">
      <c r="A53" s="278"/>
      <c r="B53" s="279"/>
      <c r="C53" s="279"/>
      <c r="D53" s="279"/>
      <c r="E53" s="279"/>
      <c r="F53" s="279"/>
      <c r="G53" s="279"/>
      <c r="H53" s="279"/>
      <c r="I53" s="279"/>
      <c r="J53" s="279"/>
      <c r="K53" s="279"/>
      <c r="L53" s="279"/>
      <c r="M53" s="279"/>
      <c r="N53" s="279"/>
      <c r="O53" s="279"/>
      <c r="P53" s="279"/>
      <c r="Q53" s="279"/>
      <c r="R53" s="279" t="s">
        <v>291</v>
      </c>
      <c r="S53" s="279"/>
      <c r="T53" s="321"/>
      <c r="U53" s="282"/>
      <c r="V53" s="5"/>
    </row>
    <row r="54" spans="1:23" x14ac:dyDescent="0.35">
      <c r="A54" s="278"/>
      <c r="B54" s="279" t="s">
        <v>349</v>
      </c>
      <c r="C54" s="279"/>
      <c r="D54" s="279"/>
      <c r="E54" s="279"/>
      <c r="F54" s="279"/>
      <c r="G54" s="279"/>
      <c r="H54" s="279"/>
      <c r="I54" s="279"/>
      <c r="J54" s="279"/>
      <c r="K54" s="279"/>
      <c r="L54" s="279"/>
      <c r="M54" s="279"/>
      <c r="N54" s="279"/>
      <c r="O54" s="279"/>
      <c r="P54" s="279"/>
      <c r="Q54" s="279"/>
      <c r="R54" s="287"/>
      <c r="S54" s="287"/>
      <c r="T54" s="323" t="s">
        <v>118</v>
      </c>
      <c r="U54" s="282"/>
      <c r="V54" s="5"/>
    </row>
    <row r="55" spans="1:23" x14ac:dyDescent="0.35">
      <c r="A55" s="278"/>
      <c r="B55" s="286" t="s">
        <v>242</v>
      </c>
      <c r="C55" s="286"/>
      <c r="D55" s="286"/>
      <c r="E55" s="286"/>
      <c r="F55" s="286"/>
      <c r="G55" s="286"/>
      <c r="H55" s="286"/>
      <c r="I55" s="286"/>
      <c r="J55" s="286"/>
      <c r="K55" s="286"/>
      <c r="L55" s="286"/>
      <c r="M55" s="286"/>
      <c r="N55" s="286"/>
      <c r="O55" s="286"/>
      <c r="P55" s="286"/>
      <c r="Q55" s="286"/>
      <c r="R55" s="324"/>
      <c r="S55" s="324"/>
      <c r="T55" s="325">
        <v>42993</v>
      </c>
      <c r="U55" s="282"/>
      <c r="V55" s="5"/>
    </row>
    <row r="56" spans="1:23" x14ac:dyDescent="0.35">
      <c r="A56" s="278"/>
      <c r="B56" s="279" t="s">
        <v>128</v>
      </c>
      <c r="C56" s="279"/>
      <c r="D56" s="279"/>
      <c r="E56" s="279"/>
      <c r="F56" s="279"/>
      <c r="G56" s="279"/>
      <c r="H56" s="326"/>
      <c r="I56" s="326"/>
      <c r="J56" s="326"/>
      <c r="K56" s="326"/>
      <c r="L56" s="326"/>
      <c r="M56" s="326"/>
      <c r="N56" s="326"/>
      <c r="O56" s="326"/>
      <c r="P56" s="279">
        <f>+T56-R56+1</f>
        <v>92</v>
      </c>
      <c r="Q56" s="279"/>
      <c r="R56" s="327">
        <v>42809</v>
      </c>
      <c r="S56" s="328"/>
      <c r="T56" s="327">
        <v>42900</v>
      </c>
      <c r="U56" s="282"/>
      <c r="V56" s="5"/>
    </row>
    <row r="57" spans="1:23" x14ac:dyDescent="0.35">
      <c r="A57" s="278"/>
      <c r="B57" s="279" t="s">
        <v>129</v>
      </c>
      <c r="C57" s="279"/>
      <c r="D57" s="279"/>
      <c r="E57" s="279"/>
      <c r="F57" s="279"/>
      <c r="G57" s="279"/>
      <c r="H57" s="279"/>
      <c r="I57" s="279"/>
      <c r="J57" s="279"/>
      <c r="K57" s="279"/>
      <c r="L57" s="279"/>
      <c r="M57" s="279"/>
      <c r="N57" s="279"/>
      <c r="O57" s="279"/>
      <c r="P57" s="279">
        <f>+T57-R57+1</f>
        <v>92</v>
      </c>
      <c r="Q57" s="279"/>
      <c r="R57" s="327">
        <v>42901</v>
      </c>
      <c r="S57" s="328"/>
      <c r="T57" s="327">
        <v>42992</v>
      </c>
      <c r="U57" s="282"/>
      <c r="V57" s="5"/>
    </row>
    <row r="58" spans="1:23" x14ac:dyDescent="0.35">
      <c r="A58" s="278"/>
      <c r="B58" s="279" t="s">
        <v>351</v>
      </c>
      <c r="C58" s="279"/>
      <c r="D58" s="279"/>
      <c r="E58" s="279"/>
      <c r="F58" s="279"/>
      <c r="G58" s="279"/>
      <c r="H58" s="279"/>
      <c r="I58" s="279"/>
      <c r="J58" s="279"/>
      <c r="K58" s="279"/>
      <c r="L58" s="279"/>
      <c r="M58" s="279"/>
      <c r="N58" s="279"/>
      <c r="O58" s="279"/>
      <c r="P58" s="279"/>
      <c r="Q58" s="279"/>
      <c r="R58" s="327"/>
      <c r="S58" s="328"/>
      <c r="T58" s="327" t="s">
        <v>127</v>
      </c>
      <c r="U58" s="282"/>
      <c r="V58" s="5"/>
    </row>
    <row r="59" spans="1:23" x14ac:dyDescent="0.35">
      <c r="A59" s="278"/>
      <c r="B59" s="279" t="s">
        <v>350</v>
      </c>
      <c r="C59" s="279"/>
      <c r="D59" s="279"/>
      <c r="E59" s="279"/>
      <c r="F59" s="279"/>
      <c r="G59" s="279"/>
      <c r="H59" s="279"/>
      <c r="I59" s="279"/>
      <c r="J59" s="279"/>
      <c r="K59" s="279"/>
      <c r="L59" s="279"/>
      <c r="M59" s="279"/>
      <c r="N59" s="279"/>
      <c r="O59" s="279"/>
      <c r="P59" s="279"/>
      <c r="Q59" s="279"/>
      <c r="R59" s="327"/>
      <c r="S59" s="328"/>
      <c r="T59" s="327" t="s">
        <v>162</v>
      </c>
      <c r="U59" s="282"/>
      <c r="V59" s="5"/>
      <c r="W59" s="135"/>
    </row>
    <row r="60" spans="1:23" x14ac:dyDescent="0.35">
      <c r="A60" s="278"/>
      <c r="B60" s="279" t="s">
        <v>16</v>
      </c>
      <c r="C60" s="279"/>
      <c r="D60" s="279"/>
      <c r="E60" s="279"/>
      <c r="F60" s="279"/>
      <c r="G60" s="279"/>
      <c r="H60" s="279"/>
      <c r="I60" s="279"/>
      <c r="J60" s="279"/>
      <c r="K60" s="279"/>
      <c r="L60" s="279"/>
      <c r="M60" s="279"/>
      <c r="N60" s="279"/>
      <c r="O60" s="279"/>
      <c r="P60" s="279"/>
      <c r="Q60" s="279"/>
      <c r="R60" s="327"/>
      <c r="S60" s="328"/>
      <c r="T60" s="327">
        <v>42979</v>
      </c>
      <c r="U60" s="282"/>
      <c r="V60" s="5"/>
    </row>
    <row r="61" spans="1:23" x14ac:dyDescent="0.35">
      <c r="A61" s="228"/>
      <c r="B61" s="258"/>
      <c r="C61" s="258"/>
      <c r="D61" s="258"/>
      <c r="E61" s="258"/>
      <c r="F61" s="258"/>
      <c r="G61" s="258"/>
      <c r="H61" s="258"/>
      <c r="I61" s="258"/>
      <c r="J61" s="258"/>
      <c r="K61" s="258"/>
      <c r="L61" s="258"/>
      <c r="M61" s="258"/>
      <c r="N61" s="258"/>
      <c r="O61" s="258"/>
      <c r="P61" s="258"/>
      <c r="Q61" s="258"/>
      <c r="R61" s="276"/>
      <c r="S61" s="277"/>
      <c r="T61" s="276"/>
      <c r="U61" s="258"/>
      <c r="V61" s="5"/>
    </row>
    <row r="62" spans="1:23" x14ac:dyDescent="0.35">
      <c r="A62" s="228"/>
      <c r="B62" s="229"/>
      <c r="C62" s="229"/>
      <c r="D62" s="229"/>
      <c r="E62" s="229"/>
      <c r="F62" s="229"/>
      <c r="G62" s="229"/>
      <c r="H62" s="229"/>
      <c r="I62" s="229"/>
      <c r="J62" s="229"/>
      <c r="K62" s="229"/>
      <c r="L62" s="229"/>
      <c r="M62" s="229"/>
      <c r="N62" s="229"/>
      <c r="O62" s="229"/>
      <c r="P62" s="229"/>
      <c r="Q62" s="229"/>
      <c r="R62" s="230"/>
      <c r="S62" s="231"/>
      <c r="T62" s="230"/>
      <c r="U62" s="229"/>
      <c r="V62" s="5"/>
    </row>
    <row r="63" spans="1:23" ht="18" thickBot="1" x14ac:dyDescent="0.4">
      <c r="A63" s="232"/>
      <c r="B63" s="233" t="s">
        <v>360</v>
      </c>
      <c r="C63" s="234"/>
      <c r="D63" s="234"/>
      <c r="E63" s="234"/>
      <c r="F63" s="234"/>
      <c r="G63" s="234"/>
      <c r="H63" s="234"/>
      <c r="I63" s="234"/>
      <c r="J63" s="234"/>
      <c r="K63" s="234"/>
      <c r="L63" s="234"/>
      <c r="M63" s="234"/>
      <c r="N63" s="234"/>
      <c r="O63" s="234"/>
      <c r="P63" s="234"/>
      <c r="Q63" s="234"/>
      <c r="R63" s="234"/>
      <c r="S63" s="234"/>
      <c r="T63" s="235"/>
      <c r="U63" s="236"/>
      <c r="V63" s="5"/>
    </row>
    <row r="64" spans="1:23" x14ac:dyDescent="0.35">
      <c r="A64" s="252"/>
      <c r="B64" s="385" t="s">
        <v>17</v>
      </c>
      <c r="C64" s="253"/>
      <c r="D64" s="253"/>
      <c r="E64" s="253"/>
      <c r="F64" s="253"/>
      <c r="G64" s="253"/>
      <c r="H64" s="253"/>
      <c r="I64" s="253"/>
      <c r="J64" s="253"/>
      <c r="K64" s="253"/>
      <c r="L64" s="253"/>
      <c r="M64" s="253"/>
      <c r="N64" s="253"/>
      <c r="O64" s="253"/>
      <c r="P64" s="253"/>
      <c r="Q64" s="253"/>
      <c r="R64" s="253"/>
      <c r="S64" s="253"/>
      <c r="T64" s="259"/>
      <c r="U64" s="253"/>
      <c r="V64" s="5"/>
    </row>
    <row r="65" spans="1:22" x14ac:dyDescent="0.35">
      <c r="A65" s="174"/>
      <c r="B65" s="182"/>
      <c r="C65" s="176"/>
      <c r="D65" s="176"/>
      <c r="E65" s="176"/>
      <c r="F65" s="176"/>
      <c r="G65" s="176"/>
      <c r="H65" s="176"/>
      <c r="I65" s="176"/>
      <c r="J65" s="176"/>
      <c r="K65" s="176"/>
      <c r="L65" s="176"/>
      <c r="M65" s="176"/>
      <c r="N65" s="176"/>
      <c r="O65" s="176"/>
      <c r="P65" s="176"/>
      <c r="Q65" s="176"/>
      <c r="R65" s="176"/>
      <c r="S65" s="176"/>
      <c r="T65" s="193"/>
      <c r="U65" s="176"/>
      <c r="V65" s="5"/>
    </row>
    <row r="66" spans="1:22" ht="45" x14ac:dyDescent="0.35">
      <c r="A66" s="174"/>
      <c r="B66" s="194" t="s">
        <v>18</v>
      </c>
      <c r="C66" s="195"/>
      <c r="D66" s="195"/>
      <c r="E66" s="195"/>
      <c r="F66" s="195"/>
      <c r="G66" s="195"/>
      <c r="H66" s="195"/>
      <c r="I66" s="195"/>
      <c r="J66" s="195" t="s">
        <v>98</v>
      </c>
      <c r="K66" s="195"/>
      <c r="L66" s="195" t="s">
        <v>100</v>
      </c>
      <c r="M66" s="195"/>
      <c r="N66" s="195" t="s">
        <v>102</v>
      </c>
      <c r="O66" s="195"/>
      <c r="P66" s="195" t="s">
        <v>104</v>
      </c>
      <c r="Q66" s="195"/>
      <c r="R66" s="195" t="s">
        <v>111</v>
      </c>
      <c r="S66" s="195"/>
      <c r="T66" s="196" t="s">
        <v>119</v>
      </c>
      <c r="U66" s="197"/>
      <c r="V66" s="5"/>
    </row>
    <row r="67" spans="1:22" x14ac:dyDescent="0.35">
      <c r="A67" s="305"/>
      <c r="B67" s="279" t="s">
        <v>19</v>
      </c>
      <c r="C67" s="332"/>
      <c r="D67" s="332"/>
      <c r="E67" s="332"/>
      <c r="F67" s="332"/>
      <c r="G67" s="332"/>
      <c r="H67" s="332"/>
      <c r="I67" s="332"/>
      <c r="J67" s="332">
        <v>1000296</v>
      </c>
      <c r="K67" s="332"/>
      <c r="L67" s="333">
        <v>372687</v>
      </c>
      <c r="M67" s="332"/>
      <c r="N67" s="332">
        <f>4548+10+20</f>
        <v>4578</v>
      </c>
      <c r="O67" s="332"/>
      <c r="P67" s="332">
        <v>30</v>
      </c>
      <c r="Q67" s="332"/>
      <c r="R67" s="332">
        <v>0</v>
      </c>
      <c r="S67" s="332"/>
      <c r="T67" s="333">
        <f>+L67-N67+P67-R67</f>
        <v>368139</v>
      </c>
      <c r="U67" s="282"/>
      <c r="V67" s="5"/>
    </row>
    <row r="68" spans="1:22" x14ac:dyDescent="0.35">
      <c r="A68" s="305"/>
      <c r="B68" s="279" t="s">
        <v>20</v>
      </c>
      <c r="C68" s="332"/>
      <c r="D68" s="332"/>
      <c r="E68" s="332"/>
      <c r="F68" s="332"/>
      <c r="G68" s="332"/>
      <c r="H68" s="332"/>
      <c r="I68" s="332"/>
      <c r="J68" s="332">
        <v>54</v>
      </c>
      <c r="K68" s="332"/>
      <c r="L68" s="333">
        <v>0</v>
      </c>
      <c r="M68" s="332"/>
      <c r="N68" s="332">
        <v>0</v>
      </c>
      <c r="O68" s="332"/>
      <c r="P68" s="332">
        <v>0</v>
      </c>
      <c r="Q68" s="332"/>
      <c r="R68" s="332">
        <v>0</v>
      </c>
      <c r="S68" s="332"/>
      <c r="T68" s="333">
        <v>0</v>
      </c>
      <c r="U68" s="282"/>
      <c r="V68" s="5"/>
    </row>
    <row r="69" spans="1:22" x14ac:dyDescent="0.35">
      <c r="A69" s="305"/>
      <c r="B69" s="279"/>
      <c r="C69" s="332"/>
      <c r="D69" s="332"/>
      <c r="E69" s="332"/>
      <c r="F69" s="332"/>
      <c r="G69" s="332"/>
      <c r="H69" s="332"/>
      <c r="I69" s="332"/>
      <c r="J69" s="332"/>
      <c r="K69" s="332"/>
      <c r="L69" s="333"/>
      <c r="M69" s="332"/>
      <c r="N69" s="332"/>
      <c r="O69" s="332"/>
      <c r="P69" s="332"/>
      <c r="Q69" s="332"/>
      <c r="R69" s="332"/>
      <c r="S69" s="332"/>
      <c r="T69" s="333"/>
      <c r="U69" s="282"/>
      <c r="V69" s="5"/>
    </row>
    <row r="70" spans="1:22" x14ac:dyDescent="0.35">
      <c r="A70" s="305"/>
      <c r="B70" s="279" t="s">
        <v>21</v>
      </c>
      <c r="C70" s="332"/>
      <c r="D70" s="332"/>
      <c r="E70" s="332"/>
      <c r="F70" s="332"/>
      <c r="G70" s="332"/>
      <c r="H70" s="332"/>
      <c r="I70" s="332"/>
      <c r="J70" s="332">
        <f>SUM(J67:J69)</f>
        <v>1000350</v>
      </c>
      <c r="K70" s="332"/>
      <c r="L70" s="332">
        <f>L67+L68</f>
        <v>372687</v>
      </c>
      <c r="M70" s="332"/>
      <c r="N70" s="332">
        <f>SUM(N67:N69)</f>
        <v>4578</v>
      </c>
      <c r="O70" s="332"/>
      <c r="P70" s="332">
        <f>SUM(P67:P69)</f>
        <v>30</v>
      </c>
      <c r="Q70" s="332"/>
      <c r="R70" s="332">
        <f>SUM(R67:R69)</f>
        <v>0</v>
      </c>
      <c r="S70" s="332"/>
      <c r="T70" s="332">
        <f>SUM(T67:T69)</f>
        <v>368139</v>
      </c>
      <c r="U70" s="282"/>
      <c r="V70" s="5"/>
    </row>
    <row r="71" spans="1:22" x14ac:dyDescent="0.35">
      <c r="A71" s="174"/>
      <c r="B71" s="329"/>
      <c r="C71" s="330"/>
      <c r="D71" s="330"/>
      <c r="E71" s="330"/>
      <c r="F71" s="330"/>
      <c r="G71" s="330"/>
      <c r="H71" s="330"/>
      <c r="I71" s="330"/>
      <c r="J71" s="330"/>
      <c r="K71" s="330"/>
      <c r="L71" s="330"/>
      <c r="M71" s="330"/>
      <c r="N71" s="330"/>
      <c r="O71" s="330"/>
      <c r="P71" s="330"/>
      <c r="Q71" s="330"/>
      <c r="R71" s="330"/>
      <c r="S71" s="330"/>
      <c r="T71" s="331"/>
      <c r="U71" s="329"/>
      <c r="V71" s="5"/>
    </row>
    <row r="72" spans="1:22" x14ac:dyDescent="0.35">
      <c r="A72" s="174"/>
      <c r="B72" s="178" t="s">
        <v>22</v>
      </c>
      <c r="C72" s="198"/>
      <c r="D72" s="198"/>
      <c r="E72" s="198"/>
      <c r="F72" s="198"/>
      <c r="G72" s="198"/>
      <c r="H72" s="198"/>
      <c r="I72" s="198"/>
      <c r="J72" s="198"/>
      <c r="K72" s="198"/>
      <c r="L72" s="198"/>
      <c r="M72" s="198"/>
      <c r="N72" s="198"/>
      <c r="O72" s="198"/>
      <c r="P72" s="198"/>
      <c r="Q72" s="198"/>
      <c r="R72" s="198"/>
      <c r="S72" s="198"/>
      <c r="T72" s="199"/>
      <c r="U72" s="176"/>
      <c r="V72" s="5"/>
    </row>
    <row r="73" spans="1:22" x14ac:dyDescent="0.35">
      <c r="A73" s="174"/>
      <c r="B73" s="176"/>
      <c r="C73" s="198"/>
      <c r="D73" s="198"/>
      <c r="E73" s="198"/>
      <c r="F73" s="198"/>
      <c r="G73" s="198"/>
      <c r="H73" s="198"/>
      <c r="I73" s="198"/>
      <c r="J73" s="198"/>
      <c r="K73" s="198"/>
      <c r="L73" s="198"/>
      <c r="M73" s="198"/>
      <c r="N73" s="198"/>
      <c r="O73" s="198"/>
      <c r="P73" s="198"/>
      <c r="Q73" s="198"/>
      <c r="R73" s="198"/>
      <c r="S73" s="198"/>
      <c r="T73" s="199"/>
      <c r="U73" s="176"/>
      <c r="V73" s="5"/>
    </row>
    <row r="74" spans="1:22" x14ac:dyDescent="0.35">
      <c r="A74" s="278"/>
      <c r="B74" s="279" t="s">
        <v>19</v>
      </c>
      <c r="C74" s="332"/>
      <c r="D74" s="332"/>
      <c r="E74" s="332"/>
      <c r="F74" s="332"/>
      <c r="G74" s="332"/>
      <c r="H74" s="332"/>
      <c r="I74" s="332"/>
      <c r="J74" s="332"/>
      <c r="K74" s="332"/>
      <c r="L74" s="332"/>
      <c r="M74" s="332"/>
      <c r="N74" s="332"/>
      <c r="O74" s="332"/>
      <c r="P74" s="332"/>
      <c r="Q74" s="332"/>
      <c r="R74" s="332"/>
      <c r="S74" s="332"/>
      <c r="T74" s="332"/>
      <c r="U74" s="282"/>
      <c r="V74" s="5"/>
    </row>
    <row r="75" spans="1:22" x14ac:dyDescent="0.35">
      <c r="A75" s="278"/>
      <c r="B75" s="279" t="s">
        <v>20</v>
      </c>
      <c r="C75" s="332"/>
      <c r="D75" s="332"/>
      <c r="E75" s="332"/>
      <c r="F75" s="332"/>
      <c r="G75" s="332"/>
      <c r="H75" s="332"/>
      <c r="I75" s="332"/>
      <c r="J75" s="332"/>
      <c r="K75" s="332"/>
      <c r="L75" s="332"/>
      <c r="M75" s="332"/>
      <c r="N75" s="332"/>
      <c r="O75" s="332"/>
      <c r="P75" s="332"/>
      <c r="Q75" s="332"/>
      <c r="R75" s="332"/>
      <c r="S75" s="332"/>
      <c r="T75" s="332"/>
      <c r="U75" s="282"/>
      <c r="V75" s="5"/>
    </row>
    <row r="76" spans="1:22" x14ac:dyDescent="0.35">
      <c r="A76" s="278"/>
      <c r="B76" s="279"/>
      <c r="C76" s="332"/>
      <c r="D76" s="332"/>
      <c r="E76" s="332"/>
      <c r="F76" s="332"/>
      <c r="G76" s="332"/>
      <c r="H76" s="332"/>
      <c r="I76" s="332"/>
      <c r="J76" s="332"/>
      <c r="K76" s="332"/>
      <c r="L76" s="332"/>
      <c r="M76" s="332"/>
      <c r="N76" s="332"/>
      <c r="O76" s="332"/>
      <c r="P76" s="332"/>
      <c r="Q76" s="332"/>
      <c r="R76" s="332"/>
      <c r="S76" s="332"/>
      <c r="T76" s="332"/>
      <c r="U76" s="282"/>
      <c r="V76" s="5"/>
    </row>
    <row r="77" spans="1:22" x14ac:dyDescent="0.35">
      <c r="A77" s="278"/>
      <c r="B77" s="279" t="s">
        <v>21</v>
      </c>
      <c r="C77" s="332"/>
      <c r="D77" s="332"/>
      <c r="E77" s="332"/>
      <c r="F77" s="332"/>
      <c r="G77" s="332"/>
      <c r="H77" s="332"/>
      <c r="I77" s="332"/>
      <c r="J77" s="332"/>
      <c r="K77" s="332"/>
      <c r="L77" s="332"/>
      <c r="M77" s="332"/>
      <c r="N77" s="332"/>
      <c r="O77" s="332"/>
      <c r="P77" s="332"/>
      <c r="Q77" s="332"/>
      <c r="R77" s="332"/>
      <c r="S77" s="332"/>
      <c r="T77" s="332"/>
      <c r="U77" s="282"/>
      <c r="V77" s="5"/>
    </row>
    <row r="78" spans="1:22" x14ac:dyDescent="0.35">
      <c r="A78" s="278"/>
      <c r="B78" s="279"/>
      <c r="C78" s="332"/>
      <c r="D78" s="332"/>
      <c r="E78" s="332"/>
      <c r="F78" s="332"/>
      <c r="G78" s="332"/>
      <c r="H78" s="332"/>
      <c r="I78" s="332"/>
      <c r="J78" s="332"/>
      <c r="K78" s="332"/>
      <c r="L78" s="332"/>
      <c r="M78" s="332"/>
      <c r="N78" s="332"/>
      <c r="O78" s="332"/>
      <c r="P78" s="332"/>
      <c r="Q78" s="332"/>
      <c r="R78" s="332"/>
      <c r="S78" s="332"/>
      <c r="T78" s="332"/>
      <c r="U78" s="282"/>
      <c r="V78" s="5"/>
    </row>
    <row r="79" spans="1:22" x14ac:dyDescent="0.35">
      <c r="A79" s="278"/>
      <c r="B79" s="279" t="s">
        <v>23</v>
      </c>
      <c r="C79" s="332"/>
      <c r="D79" s="332"/>
      <c r="E79" s="332"/>
      <c r="F79" s="332"/>
      <c r="G79" s="332"/>
      <c r="H79" s="332"/>
      <c r="I79" s="332"/>
      <c r="J79" s="332">
        <v>0</v>
      </c>
      <c r="K79" s="332"/>
      <c r="L79" s="332">
        <v>0</v>
      </c>
      <c r="M79" s="332"/>
      <c r="N79" s="332"/>
      <c r="O79" s="332"/>
      <c r="P79" s="332"/>
      <c r="Q79" s="332"/>
      <c r="R79" s="332"/>
      <c r="S79" s="332"/>
      <c r="T79" s="333">
        <v>0</v>
      </c>
      <c r="U79" s="282"/>
      <c r="V79" s="5"/>
    </row>
    <row r="80" spans="1:22" x14ac:dyDescent="0.35">
      <c r="A80" s="278"/>
      <c r="B80" s="279" t="s">
        <v>124</v>
      </c>
      <c r="C80" s="332"/>
      <c r="D80" s="332"/>
      <c r="E80" s="332"/>
      <c r="F80" s="332"/>
      <c r="G80" s="332"/>
      <c r="H80" s="332"/>
      <c r="I80" s="332"/>
      <c r="J80" s="332">
        <v>0</v>
      </c>
      <c r="K80" s="332"/>
      <c r="L80" s="332">
        <v>0</v>
      </c>
      <c r="M80" s="332"/>
      <c r="N80" s="332"/>
      <c r="O80" s="332"/>
      <c r="P80" s="332"/>
      <c r="Q80" s="332"/>
      <c r="R80" s="332"/>
      <c r="S80" s="332"/>
      <c r="T80" s="332">
        <f>SUM(J80:P80)</f>
        <v>0</v>
      </c>
      <c r="U80" s="282"/>
      <c r="V80" s="5"/>
    </row>
    <row r="81" spans="1:22" x14ac:dyDescent="0.35">
      <c r="A81" s="278"/>
      <c r="B81" s="279" t="s">
        <v>153</v>
      </c>
      <c r="C81" s="332"/>
      <c r="D81" s="332"/>
      <c r="E81" s="332"/>
      <c r="F81" s="332"/>
      <c r="G81" s="332"/>
      <c r="H81" s="332"/>
      <c r="I81" s="332"/>
      <c r="J81" s="332">
        <v>3</v>
      </c>
      <c r="K81" s="332"/>
      <c r="L81" s="332">
        <v>0</v>
      </c>
      <c r="M81" s="332"/>
      <c r="N81" s="332"/>
      <c r="O81" s="332"/>
      <c r="P81" s="332"/>
      <c r="Q81" s="332"/>
      <c r="R81" s="332"/>
      <c r="S81" s="332"/>
      <c r="T81" s="332">
        <f>+L81+N81</f>
        <v>0</v>
      </c>
      <c r="U81" s="282"/>
      <c r="V81" s="5"/>
    </row>
    <row r="82" spans="1:22" x14ac:dyDescent="0.35">
      <c r="A82" s="278"/>
      <c r="B82" s="279" t="s">
        <v>25</v>
      </c>
      <c r="C82" s="332"/>
      <c r="D82" s="332"/>
      <c r="E82" s="332"/>
      <c r="F82" s="332"/>
      <c r="G82" s="332"/>
      <c r="H82" s="332"/>
      <c r="I82" s="332"/>
      <c r="J82" s="332">
        <v>0</v>
      </c>
      <c r="K82" s="332"/>
      <c r="L82" s="332">
        <v>0</v>
      </c>
      <c r="M82" s="332"/>
      <c r="N82" s="332"/>
      <c r="O82" s="332"/>
      <c r="P82" s="332"/>
      <c r="Q82" s="332"/>
      <c r="R82" s="332"/>
      <c r="S82" s="332"/>
      <c r="T82" s="332">
        <v>0</v>
      </c>
      <c r="U82" s="282"/>
      <c r="V82" s="5"/>
    </row>
    <row r="83" spans="1:22" x14ac:dyDescent="0.35">
      <c r="A83" s="278"/>
      <c r="B83" s="279" t="s">
        <v>26</v>
      </c>
      <c r="C83" s="332"/>
      <c r="D83" s="332"/>
      <c r="E83" s="332"/>
      <c r="F83" s="332"/>
      <c r="G83" s="332"/>
      <c r="H83" s="332"/>
      <c r="I83" s="332"/>
      <c r="J83" s="332">
        <f>SUM(J70:J82)</f>
        <v>1000353</v>
      </c>
      <c r="K83" s="332"/>
      <c r="L83" s="332">
        <f>SUM(L70:L82)</f>
        <v>372687</v>
      </c>
      <c r="M83" s="332"/>
      <c r="N83" s="332"/>
      <c r="O83" s="332"/>
      <c r="P83" s="332"/>
      <c r="Q83" s="332"/>
      <c r="R83" s="332"/>
      <c r="S83" s="332"/>
      <c r="T83" s="332">
        <f>SUM(T70:T82)</f>
        <v>368139</v>
      </c>
      <c r="U83" s="282"/>
      <c r="V83" s="5"/>
    </row>
    <row r="84" spans="1:22" x14ac:dyDescent="0.35">
      <c r="A84" s="174"/>
      <c r="B84" s="329"/>
      <c r="C84" s="330"/>
      <c r="D84" s="330"/>
      <c r="E84" s="330"/>
      <c r="F84" s="330"/>
      <c r="G84" s="330"/>
      <c r="H84" s="330"/>
      <c r="I84" s="330"/>
      <c r="J84" s="330"/>
      <c r="K84" s="330"/>
      <c r="L84" s="330"/>
      <c r="M84" s="330"/>
      <c r="N84" s="330"/>
      <c r="O84" s="330"/>
      <c r="P84" s="330"/>
      <c r="Q84" s="330"/>
      <c r="R84" s="330"/>
      <c r="S84" s="330"/>
      <c r="T84" s="331"/>
      <c r="U84" s="329"/>
      <c r="V84" s="5"/>
    </row>
    <row r="85" spans="1:22" x14ac:dyDescent="0.35">
      <c r="A85" s="174"/>
      <c r="B85" s="176"/>
      <c r="C85" s="176"/>
      <c r="D85" s="176"/>
      <c r="E85" s="176"/>
      <c r="F85" s="176"/>
      <c r="G85" s="176"/>
      <c r="H85" s="176"/>
      <c r="I85" s="176"/>
      <c r="J85" s="176"/>
      <c r="K85" s="176"/>
      <c r="L85" s="176"/>
      <c r="M85" s="176"/>
      <c r="N85" s="176"/>
      <c r="O85" s="176"/>
      <c r="P85" s="176"/>
      <c r="Q85" s="176"/>
      <c r="R85" s="176"/>
      <c r="S85" s="176"/>
      <c r="T85" s="176"/>
      <c r="U85" s="176"/>
      <c r="V85" s="5"/>
    </row>
    <row r="86" spans="1:22" x14ac:dyDescent="0.35">
      <c r="A86" s="252"/>
      <c r="B86" s="385" t="s">
        <v>27</v>
      </c>
      <c r="C86" s="385"/>
      <c r="D86" s="385"/>
      <c r="E86" s="385"/>
      <c r="F86" s="385"/>
      <c r="G86" s="385"/>
      <c r="H86" s="386"/>
      <c r="I86" s="386"/>
      <c r="J86" s="387" t="s">
        <v>99</v>
      </c>
      <c r="K86" s="386"/>
      <c r="L86" s="388">
        <f>+R197</f>
        <v>42978</v>
      </c>
      <c r="M86" s="386"/>
      <c r="N86" s="386"/>
      <c r="O86" s="386"/>
      <c r="P86" s="386"/>
      <c r="Q86" s="386"/>
      <c r="R86" s="386" t="s">
        <v>112</v>
      </c>
      <c r="S86" s="386"/>
      <c r="T86" s="386" t="s">
        <v>120</v>
      </c>
      <c r="U86" s="253"/>
      <c r="V86" s="5"/>
    </row>
    <row r="87" spans="1:22" x14ac:dyDescent="0.35">
      <c r="A87" s="305"/>
      <c r="B87" s="279" t="s">
        <v>28</v>
      </c>
      <c r="C87" s="279"/>
      <c r="D87" s="279"/>
      <c r="E87" s="279"/>
      <c r="F87" s="279"/>
      <c r="G87" s="279"/>
      <c r="H87" s="279"/>
      <c r="I87" s="279"/>
      <c r="J87" s="279"/>
      <c r="K87" s="279"/>
      <c r="L87" s="279"/>
      <c r="M87" s="279"/>
      <c r="N87" s="279"/>
      <c r="O87" s="279"/>
      <c r="P87" s="279"/>
      <c r="Q87" s="279"/>
      <c r="R87" s="332">
        <v>0</v>
      </c>
      <c r="S87" s="279"/>
      <c r="T87" s="333">
        <v>0</v>
      </c>
      <c r="U87" s="282"/>
      <c r="V87" s="5"/>
    </row>
    <row r="88" spans="1:22" x14ac:dyDescent="0.35">
      <c r="A88" s="305"/>
      <c r="B88" s="279" t="s">
        <v>29</v>
      </c>
      <c r="C88" s="279"/>
      <c r="D88" s="279"/>
      <c r="E88" s="279"/>
      <c r="F88" s="279"/>
      <c r="G88" s="279"/>
      <c r="H88" s="319"/>
      <c r="I88" s="335"/>
      <c r="J88" s="319"/>
      <c r="K88" s="279"/>
      <c r="L88" s="336"/>
      <c r="M88" s="279"/>
      <c r="N88" s="279"/>
      <c r="O88" s="279"/>
      <c r="P88" s="279"/>
      <c r="Q88" s="279"/>
      <c r="R88" s="332">
        <f>4578+17</f>
        <v>4595</v>
      </c>
      <c r="S88" s="279"/>
      <c r="T88" s="333"/>
      <c r="U88" s="282"/>
      <c r="V88" s="5"/>
    </row>
    <row r="89" spans="1:22" x14ac:dyDescent="0.35">
      <c r="A89" s="305"/>
      <c r="B89" s="279" t="s">
        <v>259</v>
      </c>
      <c r="C89" s="279"/>
      <c r="D89" s="279"/>
      <c r="E89" s="279"/>
      <c r="F89" s="279"/>
      <c r="G89" s="279"/>
      <c r="H89" s="319"/>
      <c r="I89" s="335"/>
      <c r="J89" s="319"/>
      <c r="K89" s="279"/>
      <c r="L89" s="336"/>
      <c r="M89" s="279"/>
      <c r="N89" s="279"/>
      <c r="O89" s="279"/>
      <c r="P89" s="279"/>
      <c r="Q89" s="279"/>
      <c r="R89" s="332"/>
      <c r="S89" s="279"/>
      <c r="T89" s="333">
        <f>1697+981-359-401</f>
        <v>1918</v>
      </c>
      <c r="U89" s="282"/>
      <c r="V89" s="5"/>
    </row>
    <row r="90" spans="1:22" x14ac:dyDescent="0.35">
      <c r="A90" s="305"/>
      <c r="B90" s="279" t="s">
        <v>254</v>
      </c>
      <c r="C90" s="279"/>
      <c r="D90" s="279"/>
      <c r="E90" s="279"/>
      <c r="F90" s="279"/>
      <c r="G90" s="279"/>
      <c r="H90" s="319"/>
      <c r="I90" s="335"/>
      <c r="J90" s="319"/>
      <c r="K90" s="279"/>
      <c r="L90" s="336"/>
      <c r="M90" s="279"/>
      <c r="N90" s="279"/>
      <c r="O90" s="279"/>
      <c r="P90" s="279"/>
      <c r="Q90" s="279"/>
      <c r="R90" s="332"/>
      <c r="S90" s="279"/>
      <c r="T90" s="333">
        <f>41+56</f>
        <v>97</v>
      </c>
      <c r="U90" s="282"/>
      <c r="V90" s="5"/>
    </row>
    <row r="91" spans="1:22" x14ac:dyDescent="0.35">
      <c r="A91" s="305"/>
      <c r="B91" s="279" t="s">
        <v>255</v>
      </c>
      <c r="C91" s="279"/>
      <c r="D91" s="279"/>
      <c r="E91" s="279"/>
      <c r="F91" s="279"/>
      <c r="G91" s="279"/>
      <c r="H91" s="319"/>
      <c r="I91" s="335"/>
      <c r="J91" s="319"/>
      <c r="K91" s="279"/>
      <c r="L91" s="336"/>
      <c r="M91" s="279"/>
      <c r="N91" s="279"/>
      <c r="O91" s="279"/>
      <c r="P91" s="279"/>
      <c r="Q91" s="279"/>
      <c r="R91" s="332"/>
      <c r="S91" s="279"/>
      <c r="T91" s="333">
        <v>17</v>
      </c>
      <c r="U91" s="282"/>
      <c r="V91" s="5"/>
    </row>
    <row r="92" spans="1:22" x14ac:dyDescent="0.35">
      <c r="A92" s="305"/>
      <c r="B92" s="279" t="s">
        <v>273</v>
      </c>
      <c r="C92" s="279"/>
      <c r="D92" s="279"/>
      <c r="E92" s="279"/>
      <c r="F92" s="279"/>
      <c r="G92" s="279"/>
      <c r="H92" s="319"/>
      <c r="I92" s="335"/>
      <c r="J92" s="319"/>
      <c r="K92" s="279"/>
      <c r="L92" s="336"/>
      <c r="M92" s="279"/>
      <c r="N92" s="279"/>
      <c r="O92" s="279"/>
      <c r="P92" s="279"/>
      <c r="Q92" s="279"/>
      <c r="R92" s="332"/>
      <c r="S92" s="279"/>
      <c r="T92" s="333">
        <v>0</v>
      </c>
      <c r="U92" s="282"/>
      <c r="V92" s="5"/>
    </row>
    <row r="93" spans="1:22" x14ac:dyDescent="0.35">
      <c r="A93" s="305"/>
      <c r="B93" s="279" t="s">
        <v>142</v>
      </c>
      <c r="C93" s="279"/>
      <c r="D93" s="279"/>
      <c r="E93" s="279"/>
      <c r="F93" s="279"/>
      <c r="G93" s="279"/>
      <c r="H93" s="279"/>
      <c r="I93" s="279"/>
      <c r="J93" s="279"/>
      <c r="K93" s="279"/>
      <c r="L93" s="279"/>
      <c r="M93" s="279"/>
      <c r="N93" s="279"/>
      <c r="O93" s="279"/>
      <c r="P93" s="279"/>
      <c r="Q93" s="279"/>
      <c r="R93" s="332"/>
      <c r="S93" s="279"/>
      <c r="T93" s="333">
        <v>0</v>
      </c>
      <c r="U93" s="282"/>
      <c r="V93" s="5"/>
    </row>
    <row r="94" spans="1:22" x14ac:dyDescent="0.35">
      <c r="A94" s="305"/>
      <c r="B94" s="279" t="s">
        <v>234</v>
      </c>
      <c r="C94" s="279"/>
      <c r="D94" s="279"/>
      <c r="E94" s="279"/>
      <c r="F94" s="279"/>
      <c r="G94" s="279"/>
      <c r="H94" s="279"/>
      <c r="I94" s="279"/>
      <c r="J94" s="279"/>
      <c r="K94" s="279"/>
      <c r="L94" s="279"/>
      <c r="M94" s="279"/>
      <c r="N94" s="279"/>
      <c r="O94" s="279"/>
      <c r="P94" s="279"/>
      <c r="Q94" s="279"/>
      <c r="R94" s="332"/>
      <c r="S94" s="279"/>
      <c r="T94" s="333">
        <v>98</v>
      </c>
      <c r="U94" s="282"/>
      <c r="V94" s="5"/>
    </row>
    <row r="95" spans="1:22" x14ac:dyDescent="0.35">
      <c r="A95" s="305"/>
      <c r="B95" s="279" t="s">
        <v>30</v>
      </c>
      <c r="C95" s="279"/>
      <c r="D95" s="279"/>
      <c r="E95" s="279"/>
      <c r="F95" s="279"/>
      <c r="G95" s="279"/>
      <c r="H95" s="279"/>
      <c r="I95" s="279"/>
      <c r="J95" s="279"/>
      <c r="K95" s="279"/>
      <c r="L95" s="279"/>
      <c r="M95" s="279"/>
      <c r="N95" s="279"/>
      <c r="O95" s="279"/>
      <c r="P95" s="279"/>
      <c r="Q95" s="279"/>
      <c r="R95" s="332">
        <f>SUM(R87:R94)</f>
        <v>4595</v>
      </c>
      <c r="S95" s="279"/>
      <c r="T95" s="332">
        <f>SUM(T87:T94)</f>
        <v>2130</v>
      </c>
      <c r="U95" s="282"/>
      <c r="V95" s="5"/>
    </row>
    <row r="96" spans="1:22" x14ac:dyDescent="0.35">
      <c r="A96" s="305"/>
      <c r="B96" s="279" t="s">
        <v>170</v>
      </c>
      <c r="C96" s="279"/>
      <c r="D96" s="279"/>
      <c r="E96" s="279"/>
      <c r="F96" s="279"/>
      <c r="G96" s="279"/>
      <c r="H96" s="279"/>
      <c r="I96" s="279"/>
      <c r="J96" s="279"/>
      <c r="K96" s="279"/>
      <c r="L96" s="279"/>
      <c r="M96" s="279"/>
      <c r="N96" s="279"/>
      <c r="O96" s="279"/>
      <c r="P96" s="279"/>
      <c r="Q96" s="279"/>
      <c r="R96" s="332">
        <f>-T96</f>
        <v>0</v>
      </c>
      <c r="S96" s="279"/>
      <c r="T96" s="332">
        <v>0</v>
      </c>
      <c r="U96" s="282"/>
      <c r="V96" s="5"/>
    </row>
    <row r="97" spans="1:23" x14ac:dyDescent="0.35">
      <c r="A97" s="305"/>
      <c r="B97" s="279" t="s">
        <v>31</v>
      </c>
      <c r="C97" s="279"/>
      <c r="D97" s="279"/>
      <c r="E97" s="279"/>
      <c r="F97" s="279"/>
      <c r="G97" s="279"/>
      <c r="H97" s="279"/>
      <c r="I97" s="279"/>
      <c r="J97" s="279"/>
      <c r="K97" s="279"/>
      <c r="L97" s="279"/>
      <c r="M97" s="279"/>
      <c r="N97" s="279"/>
      <c r="O97" s="279"/>
      <c r="P97" s="279"/>
      <c r="Q97" s="279"/>
      <c r="R97" s="332">
        <f>-T97</f>
        <v>0</v>
      </c>
      <c r="S97" s="279"/>
      <c r="T97" s="333">
        <v>0</v>
      </c>
      <c r="U97" s="282"/>
      <c r="V97" s="5"/>
    </row>
    <row r="98" spans="1:23" x14ac:dyDescent="0.35">
      <c r="A98" s="305"/>
      <c r="B98" s="279" t="s">
        <v>285</v>
      </c>
      <c r="C98" s="279"/>
      <c r="D98" s="279"/>
      <c r="E98" s="279"/>
      <c r="F98" s="279"/>
      <c r="G98" s="279"/>
      <c r="H98" s="279"/>
      <c r="I98" s="279"/>
      <c r="J98" s="279"/>
      <c r="K98" s="279"/>
      <c r="L98" s="279"/>
      <c r="M98" s="279"/>
      <c r="N98" s="279"/>
      <c r="O98" s="279"/>
      <c r="P98" s="279"/>
      <c r="Q98" s="279"/>
      <c r="R98" s="332"/>
      <c r="S98" s="279"/>
      <c r="T98" s="333">
        <v>84</v>
      </c>
      <c r="U98" s="282"/>
      <c r="V98" s="5"/>
    </row>
    <row r="99" spans="1:23" x14ac:dyDescent="0.35">
      <c r="A99" s="305"/>
      <c r="B99" s="279" t="s">
        <v>32</v>
      </c>
      <c r="C99" s="279"/>
      <c r="D99" s="279"/>
      <c r="E99" s="279"/>
      <c r="F99" s="279"/>
      <c r="G99" s="279"/>
      <c r="H99" s="279"/>
      <c r="I99" s="279"/>
      <c r="J99" s="279"/>
      <c r="K99" s="279"/>
      <c r="L99" s="279"/>
      <c r="M99" s="279"/>
      <c r="N99" s="279"/>
      <c r="O99" s="279"/>
      <c r="P99" s="279"/>
      <c r="Q99" s="279"/>
      <c r="R99" s="332">
        <f>R95+R97+R96</f>
        <v>4595</v>
      </c>
      <c r="S99" s="279"/>
      <c r="T99" s="332">
        <f>T95+T97+T96+T98</f>
        <v>2214</v>
      </c>
      <c r="U99" s="282"/>
      <c r="V99" s="5"/>
    </row>
    <row r="100" spans="1:23" x14ac:dyDescent="0.35">
      <c r="A100" s="305"/>
      <c r="B100" s="337" t="s">
        <v>33</v>
      </c>
      <c r="C100" s="307"/>
      <c r="D100" s="307"/>
      <c r="E100" s="307"/>
      <c r="F100" s="307"/>
      <c r="G100" s="307"/>
      <c r="H100" s="307"/>
      <c r="I100" s="307"/>
      <c r="J100" s="307"/>
      <c r="K100" s="307"/>
      <c r="L100" s="307"/>
      <c r="M100" s="307"/>
      <c r="N100" s="307"/>
      <c r="O100" s="307"/>
      <c r="P100" s="307"/>
      <c r="Q100" s="307"/>
      <c r="R100" s="338"/>
      <c r="S100" s="307"/>
      <c r="T100" s="339"/>
      <c r="U100" s="312"/>
      <c r="V100" s="5"/>
    </row>
    <row r="101" spans="1:23" x14ac:dyDescent="0.35">
      <c r="A101" s="278">
        <v>1</v>
      </c>
      <c r="B101" s="279" t="s">
        <v>34</v>
      </c>
      <c r="C101" s="279"/>
      <c r="D101" s="279"/>
      <c r="E101" s="279"/>
      <c r="F101" s="279"/>
      <c r="G101" s="279"/>
      <c r="H101" s="279"/>
      <c r="I101" s="279"/>
      <c r="J101" s="279"/>
      <c r="K101" s="279"/>
      <c r="L101" s="279"/>
      <c r="M101" s="279"/>
      <c r="N101" s="279"/>
      <c r="O101" s="279"/>
      <c r="P101" s="279"/>
      <c r="Q101" s="279"/>
      <c r="R101" s="279"/>
      <c r="S101" s="279"/>
      <c r="T101" s="333">
        <v>0</v>
      </c>
      <c r="U101" s="282"/>
      <c r="V101" s="5"/>
    </row>
    <row r="102" spans="1:23" x14ac:dyDescent="0.35">
      <c r="A102" s="278">
        <f>+A101+1</f>
        <v>2</v>
      </c>
      <c r="B102" s="394" t="s">
        <v>325</v>
      </c>
      <c r="C102" s="279"/>
      <c r="D102" s="279"/>
      <c r="E102" s="279"/>
      <c r="F102" s="279"/>
      <c r="G102" s="279"/>
      <c r="H102" s="279"/>
      <c r="I102" s="279"/>
      <c r="J102" s="279"/>
      <c r="K102" s="279"/>
      <c r="L102" s="279"/>
      <c r="M102" s="279"/>
      <c r="N102" s="279"/>
      <c r="O102" s="279"/>
      <c r="P102" s="279"/>
      <c r="Q102" s="279"/>
      <c r="R102" s="279"/>
      <c r="S102" s="279"/>
      <c r="T102" s="333">
        <v>-2</v>
      </c>
      <c r="U102" s="282"/>
      <c r="V102" s="5"/>
    </row>
    <row r="103" spans="1:23" x14ac:dyDescent="0.35">
      <c r="A103" s="278">
        <f>+A102+1</f>
        <v>3</v>
      </c>
      <c r="B103" s="394" t="s">
        <v>327</v>
      </c>
      <c r="C103" s="279"/>
      <c r="D103" s="279"/>
      <c r="E103" s="279"/>
      <c r="F103" s="279"/>
      <c r="G103" s="279"/>
      <c r="H103" s="279"/>
      <c r="I103" s="279"/>
      <c r="J103" s="279"/>
      <c r="K103" s="279"/>
      <c r="L103" s="279"/>
      <c r="M103" s="279"/>
      <c r="N103" s="279"/>
      <c r="O103" s="279"/>
      <c r="P103" s="279"/>
      <c r="Q103" s="279"/>
      <c r="R103" s="279"/>
      <c r="S103" s="279"/>
      <c r="T103" s="333">
        <f>-144-108-5</f>
        <v>-257</v>
      </c>
      <c r="U103" s="282"/>
      <c r="V103" s="5"/>
    </row>
    <row r="104" spans="1:23" x14ac:dyDescent="0.35">
      <c r="A104" s="278" t="s">
        <v>134</v>
      </c>
      <c r="B104" s="279" t="s">
        <v>123</v>
      </c>
      <c r="C104" s="279"/>
      <c r="D104" s="279"/>
      <c r="E104" s="279"/>
      <c r="F104" s="279"/>
      <c r="G104" s="279"/>
      <c r="H104" s="279"/>
      <c r="I104" s="279"/>
      <c r="J104" s="279"/>
      <c r="K104" s="279"/>
      <c r="L104" s="279"/>
      <c r="M104" s="279"/>
      <c r="N104" s="279"/>
      <c r="O104" s="279"/>
      <c r="P104" s="279"/>
      <c r="Q104" s="279"/>
      <c r="R104" s="279"/>
      <c r="S104" s="279"/>
      <c r="T104" s="333">
        <v>0</v>
      </c>
      <c r="U104" s="282"/>
      <c r="V104" s="5"/>
    </row>
    <row r="105" spans="1:23" x14ac:dyDescent="0.35">
      <c r="A105" s="278" t="s">
        <v>135</v>
      </c>
      <c r="B105" s="279" t="s">
        <v>169</v>
      </c>
      <c r="C105" s="279"/>
      <c r="D105" s="279"/>
      <c r="E105" s="279"/>
      <c r="F105" s="279"/>
      <c r="G105" s="279"/>
      <c r="H105" s="279"/>
      <c r="I105" s="279"/>
      <c r="J105" s="279"/>
      <c r="K105" s="279"/>
      <c r="L105" s="279"/>
      <c r="M105" s="279"/>
      <c r="N105" s="279"/>
      <c r="O105" s="279"/>
      <c r="P105" s="279"/>
      <c r="Q105" s="279"/>
      <c r="R105" s="279"/>
      <c r="S105" s="279"/>
      <c r="T105" s="333">
        <v>0</v>
      </c>
      <c r="U105" s="282"/>
      <c r="V105" s="5"/>
    </row>
    <row r="106" spans="1:23" x14ac:dyDescent="0.35">
      <c r="A106" s="278" t="s">
        <v>157</v>
      </c>
      <c r="B106" s="279" t="s">
        <v>353</v>
      </c>
      <c r="C106" s="279"/>
      <c r="D106" s="279"/>
      <c r="E106" s="279"/>
      <c r="F106" s="279"/>
      <c r="G106" s="279"/>
      <c r="H106" s="279"/>
      <c r="I106" s="279"/>
      <c r="J106" s="279"/>
      <c r="K106" s="279"/>
      <c r="L106" s="279"/>
      <c r="M106" s="279"/>
      <c r="N106" s="279"/>
      <c r="O106" s="279"/>
      <c r="P106" s="279"/>
      <c r="Q106" s="279"/>
      <c r="R106" s="279"/>
      <c r="S106" s="279"/>
      <c r="T106" s="333">
        <f>-31-161</f>
        <v>-192</v>
      </c>
      <c r="U106" s="282"/>
      <c r="V106" s="169"/>
      <c r="W106" s="109"/>
    </row>
    <row r="107" spans="1:23" x14ac:dyDescent="0.35">
      <c r="A107" s="278" t="s">
        <v>158</v>
      </c>
      <c r="B107" s="279" t="s">
        <v>354</v>
      </c>
      <c r="C107" s="279"/>
      <c r="D107" s="279"/>
      <c r="E107" s="279"/>
      <c r="F107" s="279"/>
      <c r="G107" s="279"/>
      <c r="H107" s="279"/>
      <c r="I107" s="279"/>
      <c r="J107" s="279"/>
      <c r="K107" s="279"/>
      <c r="L107" s="279"/>
      <c r="M107" s="279"/>
      <c r="N107" s="279"/>
      <c r="O107" s="279"/>
      <c r="P107" s="279"/>
      <c r="Q107" s="279"/>
      <c r="R107" s="279"/>
      <c r="S107" s="279"/>
      <c r="T107" s="333">
        <v>-247</v>
      </c>
      <c r="U107" s="282"/>
      <c r="V107" s="5"/>
      <c r="W107" s="109"/>
    </row>
    <row r="108" spans="1:23" x14ac:dyDescent="0.35">
      <c r="A108" s="278" t="s">
        <v>247</v>
      </c>
      <c r="B108" s="279" t="s">
        <v>214</v>
      </c>
      <c r="C108" s="279"/>
      <c r="D108" s="279"/>
      <c r="E108" s="279"/>
      <c r="F108" s="279"/>
      <c r="G108" s="279"/>
      <c r="H108" s="279"/>
      <c r="I108" s="279"/>
      <c r="J108" s="279"/>
      <c r="K108" s="279"/>
      <c r="L108" s="279"/>
      <c r="M108" s="279"/>
      <c r="N108" s="279"/>
      <c r="O108" s="279"/>
      <c r="P108" s="279"/>
      <c r="Q108" s="279"/>
      <c r="R108" s="279"/>
      <c r="S108" s="279"/>
      <c r="T108" s="333">
        <v>-22</v>
      </c>
      <c r="U108" s="282"/>
      <c r="V108" s="5"/>
      <c r="W108" s="109"/>
    </row>
    <row r="109" spans="1:23" x14ac:dyDescent="0.35">
      <c r="A109" s="278" t="s">
        <v>248</v>
      </c>
      <c r="B109" s="279" t="s">
        <v>215</v>
      </c>
      <c r="C109" s="279"/>
      <c r="D109" s="279"/>
      <c r="E109" s="279"/>
      <c r="F109" s="279"/>
      <c r="G109" s="279"/>
      <c r="H109" s="279"/>
      <c r="I109" s="279"/>
      <c r="J109" s="279"/>
      <c r="K109" s="279"/>
      <c r="L109" s="279"/>
      <c r="M109" s="279"/>
      <c r="N109" s="279"/>
      <c r="O109" s="279"/>
      <c r="P109" s="279"/>
      <c r="Q109" s="279"/>
      <c r="R109" s="279"/>
      <c r="S109" s="279"/>
      <c r="T109" s="333">
        <v>-48</v>
      </c>
      <c r="U109" s="282"/>
      <c r="V109" s="169"/>
      <c r="W109" s="109"/>
    </row>
    <row r="110" spans="1:23" x14ac:dyDescent="0.35">
      <c r="A110" s="278" t="s">
        <v>249</v>
      </c>
      <c r="B110" s="279" t="s">
        <v>230</v>
      </c>
      <c r="C110" s="279"/>
      <c r="D110" s="279"/>
      <c r="E110" s="279"/>
      <c r="F110" s="279"/>
      <c r="G110" s="279"/>
      <c r="H110" s="279"/>
      <c r="I110" s="279"/>
      <c r="J110" s="279"/>
      <c r="K110" s="279"/>
      <c r="L110" s="279"/>
      <c r="M110" s="279"/>
      <c r="N110" s="279"/>
      <c r="O110" s="279"/>
      <c r="P110" s="279"/>
      <c r="Q110" s="279"/>
      <c r="R110" s="279"/>
      <c r="S110" s="279"/>
      <c r="T110" s="333">
        <v>-53</v>
      </c>
      <c r="U110" s="282"/>
      <c r="V110" s="5"/>
      <c r="W110" s="109"/>
    </row>
    <row r="111" spans="1:23" x14ac:dyDescent="0.35">
      <c r="A111" s="278" t="s">
        <v>250</v>
      </c>
      <c r="B111" s="279" t="s">
        <v>216</v>
      </c>
      <c r="C111" s="279"/>
      <c r="D111" s="279"/>
      <c r="E111" s="279"/>
      <c r="F111" s="279"/>
      <c r="G111" s="279"/>
      <c r="H111" s="279"/>
      <c r="I111" s="279"/>
      <c r="J111" s="279"/>
      <c r="K111" s="279"/>
      <c r="L111" s="279"/>
      <c r="M111" s="279"/>
      <c r="N111" s="279"/>
      <c r="O111" s="279"/>
      <c r="P111" s="279"/>
      <c r="Q111" s="279"/>
      <c r="R111" s="279"/>
      <c r="S111" s="279"/>
      <c r="T111" s="333">
        <v>-135</v>
      </c>
      <c r="U111" s="282"/>
      <c r="V111" s="5"/>
      <c r="W111" s="109"/>
    </row>
    <row r="112" spans="1:23" x14ac:dyDescent="0.35">
      <c r="A112" s="278">
        <v>7</v>
      </c>
      <c r="B112" s="394" t="s">
        <v>326</v>
      </c>
      <c r="C112" s="279"/>
      <c r="D112" s="279"/>
      <c r="E112" s="279"/>
      <c r="F112" s="279"/>
      <c r="G112" s="279"/>
      <c r="H112" s="279"/>
      <c r="I112" s="279"/>
      <c r="J112" s="279"/>
      <c r="K112" s="279"/>
      <c r="L112" s="279"/>
      <c r="M112" s="279"/>
      <c r="N112" s="279"/>
      <c r="O112" s="279"/>
      <c r="P112" s="279"/>
      <c r="Q112" s="279"/>
      <c r="R112" s="279"/>
      <c r="S112" s="279"/>
      <c r="T112" s="333">
        <v>0</v>
      </c>
      <c r="U112" s="282"/>
      <c r="V112" s="5"/>
      <c r="W112" s="109"/>
    </row>
    <row r="113" spans="1:22" x14ac:dyDescent="0.35">
      <c r="A113" s="278">
        <v>8</v>
      </c>
      <c r="B113" s="279" t="s">
        <v>36</v>
      </c>
      <c r="C113" s="279"/>
      <c r="D113" s="279"/>
      <c r="E113" s="279"/>
      <c r="F113" s="279"/>
      <c r="G113" s="279"/>
      <c r="H113" s="279"/>
      <c r="I113" s="279"/>
      <c r="J113" s="279"/>
      <c r="K113" s="279"/>
      <c r="L113" s="279"/>
      <c r="M113" s="279"/>
      <c r="N113" s="279"/>
      <c r="O113" s="279"/>
      <c r="P113" s="279"/>
      <c r="Q113" s="279"/>
      <c r="R113" s="279"/>
      <c r="S113" s="279"/>
      <c r="T113" s="333">
        <v>-13</v>
      </c>
      <c r="U113" s="282"/>
      <c r="V113" s="5"/>
    </row>
    <row r="114" spans="1:22" x14ac:dyDescent="0.35">
      <c r="A114" s="278">
        <f t="shared" ref="A114:A119" si="0">+A113+1</f>
        <v>9</v>
      </c>
      <c r="B114" s="279" t="s">
        <v>47</v>
      </c>
      <c r="C114" s="279"/>
      <c r="D114" s="279"/>
      <c r="E114" s="279"/>
      <c r="F114" s="279"/>
      <c r="G114" s="279"/>
      <c r="H114" s="279"/>
      <c r="I114" s="279"/>
      <c r="J114" s="279"/>
      <c r="K114" s="279"/>
      <c r="L114" s="279"/>
      <c r="M114" s="279"/>
      <c r="N114" s="279"/>
      <c r="O114" s="279"/>
      <c r="P114" s="279"/>
      <c r="Q114" s="279"/>
      <c r="R114" s="332">
        <f>-T114</f>
        <v>-17</v>
      </c>
      <c r="S114" s="279"/>
      <c r="T114" s="333">
        <v>17</v>
      </c>
      <c r="U114" s="282"/>
      <c r="V114" s="5"/>
    </row>
    <row r="115" spans="1:22" x14ac:dyDescent="0.35">
      <c r="A115" s="278">
        <f t="shared" si="0"/>
        <v>10</v>
      </c>
      <c r="B115" s="279" t="s">
        <v>132</v>
      </c>
      <c r="C115" s="279"/>
      <c r="D115" s="279"/>
      <c r="E115" s="279"/>
      <c r="F115" s="279"/>
      <c r="G115" s="279"/>
      <c r="H115" s="279"/>
      <c r="I115" s="279"/>
      <c r="J115" s="279"/>
      <c r="K115" s="279"/>
      <c r="L115" s="279"/>
      <c r="M115" s="279"/>
      <c r="N115" s="279"/>
      <c r="O115" s="279"/>
      <c r="P115" s="279"/>
      <c r="Q115" s="279"/>
      <c r="R115" s="279"/>
      <c r="S115" s="279"/>
      <c r="T115" s="333">
        <v>0</v>
      </c>
      <c r="U115" s="282"/>
      <c r="V115" s="5"/>
    </row>
    <row r="116" spans="1:22" x14ac:dyDescent="0.35">
      <c r="A116" s="278">
        <f t="shared" si="0"/>
        <v>11</v>
      </c>
      <c r="B116" s="279" t="s">
        <v>37</v>
      </c>
      <c r="C116" s="279"/>
      <c r="D116" s="279"/>
      <c r="E116" s="279"/>
      <c r="F116" s="279"/>
      <c r="G116" s="279"/>
      <c r="H116" s="279"/>
      <c r="I116" s="279"/>
      <c r="J116" s="279"/>
      <c r="K116" s="279"/>
      <c r="L116" s="279"/>
      <c r="M116" s="279"/>
      <c r="N116" s="279"/>
      <c r="O116" s="279"/>
      <c r="P116" s="279"/>
      <c r="Q116" s="279"/>
      <c r="R116" s="279"/>
      <c r="S116" s="279"/>
      <c r="T116" s="333">
        <v>0</v>
      </c>
      <c r="U116" s="282"/>
      <c r="V116" s="5"/>
    </row>
    <row r="117" spans="1:22" x14ac:dyDescent="0.35">
      <c r="A117" s="278">
        <f t="shared" si="0"/>
        <v>12</v>
      </c>
      <c r="B117" s="279" t="s">
        <v>38</v>
      </c>
      <c r="C117" s="279"/>
      <c r="D117" s="279"/>
      <c r="E117" s="279"/>
      <c r="F117" s="279"/>
      <c r="G117" s="279"/>
      <c r="H117" s="279"/>
      <c r="I117" s="279"/>
      <c r="J117" s="279"/>
      <c r="K117" s="279"/>
      <c r="L117" s="279"/>
      <c r="M117" s="279"/>
      <c r="N117" s="279"/>
      <c r="O117" s="279"/>
      <c r="P117" s="279"/>
      <c r="Q117" s="279"/>
      <c r="R117" s="279"/>
      <c r="S117" s="279"/>
      <c r="T117" s="333">
        <v>0</v>
      </c>
      <c r="U117" s="282"/>
      <c r="V117" s="5"/>
    </row>
    <row r="118" spans="1:22" x14ac:dyDescent="0.35">
      <c r="A118" s="278">
        <f t="shared" si="0"/>
        <v>13</v>
      </c>
      <c r="B118" s="279" t="s">
        <v>156</v>
      </c>
      <c r="C118" s="279"/>
      <c r="D118" s="279"/>
      <c r="E118" s="279"/>
      <c r="F118" s="279"/>
      <c r="G118" s="279"/>
      <c r="H118" s="279"/>
      <c r="I118" s="279"/>
      <c r="J118" s="279"/>
      <c r="K118" s="279"/>
      <c r="L118" s="279"/>
      <c r="M118" s="279"/>
      <c r="N118" s="279"/>
      <c r="O118" s="279"/>
      <c r="P118" s="279"/>
      <c r="Q118" s="279"/>
      <c r="R118" s="279"/>
      <c r="S118" s="279"/>
      <c r="T118" s="333">
        <v>-144</v>
      </c>
      <c r="U118" s="282"/>
      <c r="V118" s="5"/>
    </row>
    <row r="119" spans="1:22" x14ac:dyDescent="0.35">
      <c r="A119" s="278">
        <f t="shared" si="0"/>
        <v>14</v>
      </c>
      <c r="B119" s="279" t="s">
        <v>133</v>
      </c>
      <c r="C119" s="279"/>
      <c r="D119" s="279"/>
      <c r="E119" s="279"/>
      <c r="F119" s="279"/>
      <c r="G119" s="279"/>
      <c r="H119" s="279"/>
      <c r="I119" s="279"/>
      <c r="J119" s="279"/>
      <c r="K119" s="279"/>
      <c r="L119" s="279"/>
      <c r="M119" s="279"/>
      <c r="N119" s="279"/>
      <c r="O119" s="279"/>
      <c r="P119" s="279"/>
      <c r="Q119" s="279"/>
      <c r="R119" s="279"/>
      <c r="S119" s="279"/>
      <c r="T119" s="333">
        <f>-T99-SUM(T101:T118)</f>
        <v>-1118</v>
      </c>
      <c r="U119" s="282"/>
      <c r="V119" s="5"/>
    </row>
    <row r="120" spans="1:22" x14ac:dyDescent="0.35">
      <c r="A120" s="278"/>
      <c r="B120" s="337" t="s">
        <v>39</v>
      </c>
      <c r="C120" s="279"/>
      <c r="D120" s="279"/>
      <c r="E120" s="279"/>
      <c r="F120" s="279"/>
      <c r="G120" s="279"/>
      <c r="H120" s="279"/>
      <c r="I120" s="279"/>
      <c r="J120" s="279"/>
      <c r="K120" s="279"/>
      <c r="L120" s="279"/>
      <c r="M120" s="279"/>
      <c r="N120" s="279"/>
      <c r="O120" s="279"/>
      <c r="P120" s="279"/>
      <c r="Q120" s="279"/>
      <c r="R120" s="279"/>
      <c r="S120" s="279"/>
      <c r="T120" s="341"/>
      <c r="U120" s="282"/>
      <c r="V120" s="5"/>
    </row>
    <row r="121" spans="1:22" x14ac:dyDescent="0.35">
      <c r="A121" s="278"/>
      <c r="B121" s="279" t="s">
        <v>184</v>
      </c>
      <c r="C121" s="279"/>
      <c r="D121" s="279"/>
      <c r="E121" s="279"/>
      <c r="F121" s="279"/>
      <c r="G121" s="279"/>
      <c r="H121" s="279"/>
      <c r="I121" s="279"/>
      <c r="J121" s="279"/>
      <c r="K121" s="279"/>
      <c r="L121" s="279"/>
      <c r="M121" s="279"/>
      <c r="N121" s="279"/>
      <c r="O121" s="279"/>
      <c r="P121" s="279"/>
      <c r="Q121" s="279"/>
      <c r="R121" s="332">
        <f>-R181</f>
        <v>0</v>
      </c>
      <c r="S121" s="332"/>
      <c r="T121" s="333"/>
      <c r="U121" s="282"/>
      <c r="V121" s="5"/>
    </row>
    <row r="122" spans="1:22" x14ac:dyDescent="0.35">
      <c r="A122" s="278"/>
      <c r="B122" s="279" t="s">
        <v>185</v>
      </c>
      <c r="C122" s="279"/>
      <c r="D122" s="279"/>
      <c r="E122" s="279"/>
      <c r="F122" s="279"/>
      <c r="G122" s="279"/>
      <c r="H122" s="279"/>
      <c r="I122" s="279"/>
      <c r="J122" s="279"/>
      <c r="K122" s="279"/>
      <c r="L122" s="279"/>
      <c r="M122" s="279"/>
      <c r="N122" s="279"/>
      <c r="O122" s="279"/>
      <c r="P122" s="279"/>
      <c r="Q122" s="279"/>
      <c r="R122" s="332">
        <v>0</v>
      </c>
      <c r="S122" s="332"/>
      <c r="T122" s="333"/>
      <c r="U122" s="282"/>
      <c r="V122" s="5"/>
    </row>
    <row r="123" spans="1:22" x14ac:dyDescent="0.35">
      <c r="A123" s="278"/>
      <c r="B123" s="279" t="s">
        <v>40</v>
      </c>
      <c r="C123" s="279"/>
      <c r="D123" s="279"/>
      <c r="E123" s="279"/>
      <c r="F123" s="279"/>
      <c r="G123" s="279"/>
      <c r="H123" s="279"/>
      <c r="I123" s="279"/>
      <c r="J123" s="279"/>
      <c r="K123" s="279"/>
      <c r="L123" s="279"/>
      <c r="M123" s="279"/>
      <c r="N123" s="279"/>
      <c r="O123" s="279"/>
      <c r="P123" s="279"/>
      <c r="Q123" s="279"/>
      <c r="R123" s="332">
        <f>-Q181</f>
        <v>-30</v>
      </c>
      <c r="S123" s="332"/>
      <c r="T123" s="333"/>
      <c r="U123" s="282"/>
      <c r="V123" s="5"/>
    </row>
    <row r="124" spans="1:22" x14ac:dyDescent="0.35">
      <c r="A124" s="278"/>
      <c r="B124" s="279" t="s">
        <v>377</v>
      </c>
      <c r="C124" s="279"/>
      <c r="D124" s="279"/>
      <c r="E124" s="279"/>
      <c r="F124" s="279"/>
      <c r="G124" s="279"/>
      <c r="H124" s="279"/>
      <c r="I124" s="279"/>
      <c r="J124" s="279"/>
      <c r="K124" s="279"/>
      <c r="L124" s="279"/>
      <c r="M124" s="279"/>
      <c r="N124" s="279"/>
      <c r="O124" s="279"/>
      <c r="P124" s="279"/>
      <c r="Q124" s="279"/>
      <c r="R124" s="332">
        <v>-3507</v>
      </c>
      <c r="S124" s="332"/>
      <c r="T124" s="333"/>
      <c r="U124" s="282"/>
      <c r="V124" s="5"/>
    </row>
    <row r="125" spans="1:22" x14ac:dyDescent="0.35">
      <c r="A125" s="278"/>
      <c r="B125" s="279" t="s">
        <v>229</v>
      </c>
      <c r="C125" s="279"/>
      <c r="D125" s="279"/>
      <c r="E125" s="279"/>
      <c r="F125" s="279"/>
      <c r="G125" s="279"/>
      <c r="H125" s="279"/>
      <c r="I125" s="279"/>
      <c r="J125" s="279"/>
      <c r="K125" s="279"/>
      <c r="L125" s="279"/>
      <c r="M125" s="279"/>
      <c r="N125" s="279"/>
      <c r="O125" s="279"/>
      <c r="P125" s="279"/>
      <c r="Q125" s="279"/>
      <c r="R125" s="332">
        <v>0</v>
      </c>
      <c r="S125" s="332"/>
      <c r="T125" s="333"/>
      <c r="U125" s="282"/>
      <c r="V125" s="5"/>
    </row>
    <row r="126" spans="1:22" x14ac:dyDescent="0.35">
      <c r="A126" s="278"/>
      <c r="B126" s="279" t="s">
        <v>228</v>
      </c>
      <c r="C126" s="279"/>
      <c r="D126" s="279"/>
      <c r="E126" s="279"/>
      <c r="F126" s="279"/>
      <c r="G126" s="279"/>
      <c r="H126" s="279"/>
      <c r="I126" s="279"/>
      <c r="J126" s="279"/>
      <c r="K126" s="279"/>
      <c r="L126" s="279"/>
      <c r="M126" s="279"/>
      <c r="N126" s="279"/>
      <c r="O126" s="279"/>
      <c r="P126" s="279"/>
      <c r="Q126" s="279"/>
      <c r="R126" s="332">
        <v>0</v>
      </c>
      <c r="S126" s="332"/>
      <c r="T126" s="333"/>
      <c r="U126" s="282"/>
      <c r="V126" s="5"/>
    </row>
    <row r="127" spans="1:22" x14ac:dyDescent="0.35">
      <c r="A127" s="278"/>
      <c r="B127" s="279" t="s">
        <v>221</v>
      </c>
      <c r="C127" s="279"/>
      <c r="D127" s="279"/>
      <c r="E127" s="279"/>
      <c r="F127" s="279"/>
      <c r="G127" s="279"/>
      <c r="H127" s="279"/>
      <c r="I127" s="279"/>
      <c r="J127" s="279"/>
      <c r="K127" s="279"/>
      <c r="L127" s="279"/>
      <c r="M127" s="279"/>
      <c r="N127" s="279"/>
      <c r="O127" s="279"/>
      <c r="P127" s="279"/>
      <c r="Q127" s="279"/>
      <c r="R127" s="332">
        <v>-282</v>
      </c>
      <c r="S127" s="332"/>
      <c r="T127" s="333"/>
      <c r="U127" s="282"/>
      <c r="V127" s="5"/>
    </row>
    <row r="128" spans="1:22" x14ac:dyDescent="0.35">
      <c r="A128" s="278"/>
      <c r="B128" s="279" t="s">
        <v>220</v>
      </c>
      <c r="C128" s="279"/>
      <c r="D128" s="279"/>
      <c r="E128" s="279"/>
      <c r="F128" s="279"/>
      <c r="G128" s="279"/>
      <c r="H128" s="279"/>
      <c r="I128" s="279"/>
      <c r="J128" s="279"/>
      <c r="K128" s="279"/>
      <c r="L128" s="279"/>
      <c r="M128" s="279"/>
      <c r="N128" s="279"/>
      <c r="O128" s="279"/>
      <c r="P128" s="279"/>
      <c r="Q128" s="279"/>
      <c r="R128" s="332">
        <v>-120</v>
      </c>
      <c r="S128" s="332"/>
      <c r="T128" s="333"/>
      <c r="U128" s="282"/>
      <c r="V128" s="5"/>
    </row>
    <row r="129" spans="1:22" x14ac:dyDescent="0.35">
      <c r="A129" s="278"/>
      <c r="B129" s="279" t="s">
        <v>219</v>
      </c>
      <c r="C129" s="279"/>
      <c r="D129" s="279"/>
      <c r="E129" s="279"/>
      <c r="F129" s="279"/>
      <c r="G129" s="279"/>
      <c r="H129" s="279"/>
      <c r="I129" s="279"/>
      <c r="J129" s="279"/>
      <c r="K129" s="279"/>
      <c r="L129" s="279"/>
      <c r="M129" s="279"/>
      <c r="N129" s="279"/>
      <c r="O129" s="279"/>
      <c r="P129" s="279"/>
      <c r="Q129" s="279"/>
      <c r="R129" s="332">
        <v>-470</v>
      </c>
      <c r="S129" s="332"/>
      <c r="T129" s="333"/>
      <c r="U129" s="282"/>
      <c r="V129" s="5"/>
    </row>
    <row r="130" spans="1:22" x14ac:dyDescent="0.35">
      <c r="A130" s="278"/>
      <c r="B130" s="279" t="s">
        <v>218</v>
      </c>
      <c r="C130" s="279"/>
      <c r="D130" s="279"/>
      <c r="E130" s="279"/>
      <c r="F130" s="279"/>
      <c r="G130" s="279"/>
      <c r="H130" s="279"/>
      <c r="I130" s="279"/>
      <c r="J130" s="279"/>
      <c r="K130" s="279"/>
      <c r="L130" s="279"/>
      <c r="M130" s="279"/>
      <c r="N130" s="279"/>
      <c r="O130" s="279"/>
      <c r="P130" s="279"/>
      <c r="Q130" s="279"/>
      <c r="R130" s="332">
        <v>-169</v>
      </c>
      <c r="S130" s="332"/>
      <c r="T130" s="333"/>
      <c r="U130" s="282"/>
      <c r="V130" s="5"/>
    </row>
    <row r="131" spans="1:22" x14ac:dyDescent="0.35">
      <c r="A131" s="278"/>
      <c r="B131" s="279" t="s">
        <v>41</v>
      </c>
      <c r="C131" s="279"/>
      <c r="D131" s="279"/>
      <c r="E131" s="279"/>
      <c r="F131" s="279"/>
      <c r="G131" s="279"/>
      <c r="H131" s="279"/>
      <c r="I131" s="279"/>
      <c r="J131" s="279"/>
      <c r="K131" s="279"/>
      <c r="L131" s="279"/>
      <c r="M131" s="279"/>
      <c r="N131" s="279"/>
      <c r="O131" s="279"/>
      <c r="P131" s="279"/>
      <c r="Q131" s="279"/>
      <c r="R131" s="332">
        <f>SUM(R121:R130)</f>
        <v>-4578</v>
      </c>
      <c r="S131" s="332"/>
      <c r="T131" s="332">
        <f>SUM(T100:T129)</f>
        <v>-2214</v>
      </c>
      <c r="U131" s="282"/>
      <c r="V131" s="5"/>
    </row>
    <row r="132" spans="1:22" x14ac:dyDescent="0.35">
      <c r="A132" s="278"/>
      <c r="B132" s="279" t="s">
        <v>42</v>
      </c>
      <c r="C132" s="279"/>
      <c r="D132" s="279"/>
      <c r="E132" s="279"/>
      <c r="F132" s="279"/>
      <c r="G132" s="279"/>
      <c r="H132" s="279"/>
      <c r="I132" s="279"/>
      <c r="J132" s="279"/>
      <c r="K132" s="279"/>
      <c r="L132" s="279"/>
      <c r="M132" s="279"/>
      <c r="N132" s="279"/>
      <c r="O132" s="279"/>
      <c r="P132" s="279"/>
      <c r="Q132" s="279"/>
      <c r="R132" s="332">
        <f>R99+R131+R114</f>
        <v>0</v>
      </c>
      <c r="S132" s="332"/>
      <c r="T132" s="332">
        <f>T99+T131</f>
        <v>0</v>
      </c>
      <c r="U132" s="282"/>
      <c r="V132" s="5"/>
    </row>
    <row r="133" spans="1:22" x14ac:dyDescent="0.35">
      <c r="A133" s="228"/>
      <c r="B133" s="258"/>
      <c r="C133" s="258"/>
      <c r="D133" s="258"/>
      <c r="E133" s="258"/>
      <c r="F133" s="258"/>
      <c r="G133" s="258"/>
      <c r="H133" s="258"/>
      <c r="I133" s="258"/>
      <c r="J133" s="258"/>
      <c r="K133" s="258"/>
      <c r="L133" s="258"/>
      <c r="M133" s="258"/>
      <c r="N133" s="258"/>
      <c r="O133" s="258"/>
      <c r="P133" s="258"/>
      <c r="Q133" s="258"/>
      <c r="R133" s="334"/>
      <c r="S133" s="334"/>
      <c r="T133" s="334"/>
      <c r="U133" s="258"/>
      <c r="V133" s="5"/>
    </row>
    <row r="134" spans="1:22" x14ac:dyDescent="0.35">
      <c r="A134" s="228"/>
      <c r="B134" s="229"/>
      <c r="C134" s="229"/>
      <c r="D134" s="229"/>
      <c r="E134" s="229"/>
      <c r="F134" s="229"/>
      <c r="G134" s="229"/>
      <c r="H134" s="229"/>
      <c r="I134" s="229"/>
      <c r="J134" s="229"/>
      <c r="K134" s="229"/>
      <c r="L134" s="229"/>
      <c r="M134" s="229"/>
      <c r="N134" s="229"/>
      <c r="O134" s="229"/>
      <c r="P134" s="229"/>
      <c r="Q134" s="229"/>
      <c r="R134" s="229"/>
      <c r="S134" s="229"/>
      <c r="T134" s="238"/>
      <c r="U134" s="229"/>
      <c r="V134" s="5"/>
    </row>
    <row r="135" spans="1:22" ht="18" thickBot="1" x14ac:dyDescent="0.4">
      <c r="A135" s="232"/>
      <c r="B135" s="233" t="str">
        <f>B63</f>
        <v>PM10 INVESTOR REPORT QUARTER ENDING AUGUST 2017</v>
      </c>
      <c r="C135" s="234"/>
      <c r="D135" s="234"/>
      <c r="E135" s="234"/>
      <c r="F135" s="234"/>
      <c r="G135" s="234"/>
      <c r="H135" s="234"/>
      <c r="I135" s="234"/>
      <c r="J135" s="234"/>
      <c r="K135" s="234"/>
      <c r="L135" s="234"/>
      <c r="M135" s="234"/>
      <c r="N135" s="234"/>
      <c r="O135" s="234"/>
      <c r="P135" s="234"/>
      <c r="Q135" s="234"/>
      <c r="R135" s="234"/>
      <c r="S135" s="234"/>
      <c r="T135" s="239"/>
      <c r="U135" s="236"/>
      <c r="V135" s="5"/>
    </row>
    <row r="136" spans="1:22" x14ac:dyDescent="0.35">
      <c r="A136" s="264"/>
      <c r="B136" s="389" t="s">
        <v>43</v>
      </c>
      <c r="C136" s="265"/>
      <c r="D136" s="265"/>
      <c r="E136" s="265"/>
      <c r="F136" s="265"/>
      <c r="G136" s="265"/>
      <c r="H136" s="265"/>
      <c r="I136" s="265"/>
      <c r="J136" s="265"/>
      <c r="K136" s="265"/>
      <c r="L136" s="265"/>
      <c r="M136" s="265"/>
      <c r="N136" s="265"/>
      <c r="O136" s="265"/>
      <c r="P136" s="265"/>
      <c r="Q136" s="265"/>
      <c r="R136" s="265"/>
      <c r="S136" s="265"/>
      <c r="T136" s="266"/>
      <c r="U136" s="265"/>
      <c r="V136" s="5"/>
    </row>
    <row r="137" spans="1:22" x14ac:dyDescent="0.35">
      <c r="A137" s="174"/>
      <c r="B137" s="187"/>
      <c r="C137" s="176"/>
      <c r="D137" s="176"/>
      <c r="E137" s="176"/>
      <c r="F137" s="176"/>
      <c r="G137" s="176"/>
      <c r="H137" s="176"/>
      <c r="I137" s="176"/>
      <c r="J137" s="176"/>
      <c r="K137" s="176"/>
      <c r="L137" s="176"/>
      <c r="M137" s="176"/>
      <c r="N137" s="176"/>
      <c r="O137" s="176"/>
      <c r="P137" s="176"/>
      <c r="Q137" s="176"/>
      <c r="R137" s="176"/>
      <c r="S137" s="176"/>
      <c r="T137" s="193"/>
      <c r="U137" s="176"/>
      <c r="V137" s="5"/>
    </row>
    <row r="138" spans="1:22" x14ac:dyDescent="0.35">
      <c r="A138" s="174"/>
      <c r="B138" s="200" t="s">
        <v>44</v>
      </c>
      <c r="C138" s="176"/>
      <c r="D138" s="176"/>
      <c r="E138" s="176"/>
      <c r="F138" s="176"/>
      <c r="G138" s="176"/>
      <c r="H138" s="176"/>
      <c r="I138" s="176"/>
      <c r="J138" s="176"/>
      <c r="K138" s="176"/>
      <c r="L138" s="176"/>
      <c r="M138" s="176"/>
      <c r="N138" s="176"/>
      <c r="O138" s="176"/>
      <c r="P138" s="176"/>
      <c r="Q138" s="176"/>
      <c r="R138" s="176"/>
      <c r="S138" s="176"/>
      <c r="T138" s="193"/>
      <c r="U138" s="176"/>
      <c r="V138" s="5"/>
    </row>
    <row r="139" spans="1:22" x14ac:dyDescent="0.35">
      <c r="A139" s="305"/>
      <c r="B139" s="279" t="s">
        <v>45</v>
      </c>
      <c r="C139" s="279"/>
      <c r="D139" s="279"/>
      <c r="E139" s="279"/>
      <c r="F139" s="279"/>
      <c r="G139" s="279"/>
      <c r="H139" s="279"/>
      <c r="I139" s="279"/>
      <c r="J139" s="279"/>
      <c r="K139" s="279"/>
      <c r="L139" s="279"/>
      <c r="M139" s="279"/>
      <c r="N139" s="279"/>
      <c r="O139" s="279"/>
      <c r="P139" s="279"/>
      <c r="Q139" s="279"/>
      <c r="R139" s="279"/>
      <c r="S139" s="279"/>
      <c r="T139" s="333">
        <f>+T34*0.0186</f>
        <v>18606.565799999997</v>
      </c>
      <c r="U139" s="282"/>
      <c r="V139" s="5"/>
    </row>
    <row r="140" spans="1:22" x14ac:dyDescent="0.35">
      <c r="A140" s="305"/>
      <c r="B140" s="279" t="s">
        <v>46</v>
      </c>
      <c r="C140" s="279"/>
      <c r="D140" s="279"/>
      <c r="E140" s="279"/>
      <c r="F140" s="279"/>
      <c r="G140" s="279"/>
      <c r="H140" s="279"/>
      <c r="I140" s="279"/>
      <c r="J140" s="279"/>
      <c r="K140" s="279"/>
      <c r="L140" s="279"/>
      <c r="M140" s="279"/>
      <c r="N140" s="279"/>
      <c r="O140" s="279"/>
      <c r="P140" s="279"/>
      <c r="Q140" s="279"/>
      <c r="R140" s="279"/>
      <c r="S140" s="279"/>
      <c r="T140" s="333">
        <v>18607</v>
      </c>
      <c r="U140" s="282"/>
      <c r="V140" s="5"/>
    </row>
    <row r="141" spans="1:22" x14ac:dyDescent="0.35">
      <c r="A141" s="305"/>
      <c r="B141" s="279" t="s">
        <v>143</v>
      </c>
      <c r="C141" s="279"/>
      <c r="D141" s="279"/>
      <c r="E141" s="279"/>
      <c r="F141" s="279"/>
      <c r="G141" s="279"/>
      <c r="H141" s="279"/>
      <c r="I141" s="279"/>
      <c r="J141" s="279"/>
      <c r="K141" s="279"/>
      <c r="L141" s="279"/>
      <c r="M141" s="279"/>
      <c r="N141" s="279"/>
      <c r="O141" s="279"/>
      <c r="P141" s="279"/>
      <c r="Q141" s="279"/>
      <c r="R141" s="279"/>
      <c r="S141" s="279"/>
      <c r="T141" s="333">
        <v>0</v>
      </c>
      <c r="U141" s="282"/>
      <c r="V141" s="5"/>
    </row>
    <row r="142" spans="1:22" x14ac:dyDescent="0.35">
      <c r="A142" s="305"/>
      <c r="B142" s="279" t="s">
        <v>130</v>
      </c>
      <c r="C142" s="279"/>
      <c r="D142" s="279"/>
      <c r="E142" s="279"/>
      <c r="F142" s="279"/>
      <c r="G142" s="279"/>
      <c r="H142" s="279"/>
      <c r="I142" s="279"/>
      <c r="J142" s="279"/>
      <c r="K142" s="279"/>
      <c r="L142" s="279"/>
      <c r="M142" s="279"/>
      <c r="N142" s="279"/>
      <c r="O142" s="279"/>
      <c r="P142" s="279"/>
      <c r="Q142" s="279"/>
      <c r="R142" s="279"/>
      <c r="S142" s="279"/>
      <c r="T142" s="333">
        <v>0</v>
      </c>
      <c r="U142" s="282"/>
      <c r="V142" s="5"/>
    </row>
    <row r="143" spans="1:22" x14ac:dyDescent="0.35">
      <c r="A143" s="305"/>
      <c r="B143" s="279" t="s">
        <v>131</v>
      </c>
      <c r="C143" s="279"/>
      <c r="D143" s="279"/>
      <c r="E143" s="279"/>
      <c r="F143" s="279"/>
      <c r="G143" s="279"/>
      <c r="H143" s="279"/>
      <c r="I143" s="279"/>
      <c r="J143" s="279"/>
      <c r="K143" s="279"/>
      <c r="L143" s="279"/>
      <c r="M143" s="279"/>
      <c r="N143" s="279"/>
      <c r="O143" s="279"/>
      <c r="P143" s="279"/>
      <c r="Q143" s="279"/>
      <c r="R143" s="279"/>
      <c r="S143" s="279"/>
      <c r="T143" s="333">
        <v>0</v>
      </c>
      <c r="U143" s="282"/>
      <c r="V143" s="5"/>
    </row>
    <row r="144" spans="1:22" x14ac:dyDescent="0.35">
      <c r="A144" s="305"/>
      <c r="B144" s="279" t="s">
        <v>186</v>
      </c>
      <c r="C144" s="279"/>
      <c r="D144" s="279"/>
      <c r="E144" s="279"/>
      <c r="F144" s="279"/>
      <c r="G144" s="279"/>
      <c r="H144" s="279"/>
      <c r="I144" s="279"/>
      <c r="J144" s="279"/>
      <c r="K144" s="279"/>
      <c r="L144" s="279"/>
      <c r="M144" s="279"/>
      <c r="N144" s="279"/>
      <c r="O144" s="279"/>
      <c r="P144" s="279"/>
      <c r="Q144" s="279"/>
      <c r="R144" s="279"/>
      <c r="S144" s="279"/>
      <c r="T144" s="333">
        <v>0</v>
      </c>
      <c r="U144" s="282"/>
      <c r="V144" s="5"/>
    </row>
    <row r="145" spans="1:23" x14ac:dyDescent="0.35">
      <c r="A145" s="305"/>
      <c r="B145" s="279" t="s">
        <v>47</v>
      </c>
      <c r="C145" s="279"/>
      <c r="D145" s="279"/>
      <c r="E145" s="279"/>
      <c r="F145" s="279"/>
      <c r="G145" s="279"/>
      <c r="H145" s="279"/>
      <c r="I145" s="279"/>
      <c r="J145" s="279"/>
      <c r="K145" s="279"/>
      <c r="L145" s="279"/>
      <c r="M145" s="279"/>
      <c r="N145" s="279"/>
      <c r="O145" s="279"/>
      <c r="P145" s="279"/>
      <c r="Q145" s="279"/>
      <c r="R145" s="279"/>
      <c r="S145" s="279"/>
      <c r="T145" s="333">
        <v>0</v>
      </c>
      <c r="U145" s="282"/>
      <c r="V145" s="5"/>
    </row>
    <row r="146" spans="1:23" x14ac:dyDescent="0.35">
      <c r="A146" s="305"/>
      <c r="B146" s="279" t="s">
        <v>136</v>
      </c>
      <c r="C146" s="279"/>
      <c r="D146" s="279"/>
      <c r="E146" s="279"/>
      <c r="F146" s="279"/>
      <c r="G146" s="279"/>
      <c r="H146" s="279"/>
      <c r="I146" s="279"/>
      <c r="J146" s="279"/>
      <c r="K146" s="279"/>
      <c r="L146" s="279"/>
      <c r="M146" s="279"/>
      <c r="N146" s="279"/>
      <c r="O146" s="279"/>
      <c r="P146" s="279"/>
      <c r="Q146" s="279"/>
      <c r="R146" s="279"/>
      <c r="S146" s="279"/>
      <c r="T146" s="333">
        <v>0</v>
      </c>
      <c r="U146" s="282"/>
      <c r="V146" s="5"/>
    </row>
    <row r="147" spans="1:23" x14ac:dyDescent="0.35">
      <c r="A147" s="305"/>
      <c r="B147" s="279" t="s">
        <v>222</v>
      </c>
      <c r="C147" s="279"/>
      <c r="D147" s="279"/>
      <c r="E147" s="279"/>
      <c r="F147" s="279"/>
      <c r="G147" s="279"/>
      <c r="H147" s="279"/>
      <c r="I147" s="279"/>
      <c r="J147" s="279"/>
      <c r="K147" s="279"/>
      <c r="L147" s="279"/>
      <c r="M147" s="279"/>
      <c r="N147" s="279"/>
      <c r="O147" s="279"/>
      <c r="P147" s="279"/>
      <c r="Q147" s="279"/>
      <c r="R147" s="279"/>
      <c r="S147" s="279"/>
      <c r="T147" s="333">
        <v>0</v>
      </c>
      <c r="U147" s="282"/>
      <c r="V147" s="5"/>
      <c r="W147" s="109"/>
    </row>
    <row r="148" spans="1:23" x14ac:dyDescent="0.35">
      <c r="A148" s="305"/>
      <c r="B148" s="279" t="s">
        <v>48</v>
      </c>
      <c r="C148" s="279"/>
      <c r="D148" s="279"/>
      <c r="E148" s="279"/>
      <c r="F148" s="279"/>
      <c r="G148" s="279"/>
      <c r="H148" s="279"/>
      <c r="I148" s="279"/>
      <c r="J148" s="279"/>
      <c r="K148" s="279"/>
      <c r="L148" s="279"/>
      <c r="M148" s="279"/>
      <c r="N148" s="279"/>
      <c r="O148" s="279"/>
      <c r="P148" s="279"/>
      <c r="Q148" s="279"/>
      <c r="R148" s="279"/>
      <c r="S148" s="279"/>
      <c r="T148" s="333">
        <f>SUM(T140:T147)</f>
        <v>18607</v>
      </c>
      <c r="U148" s="282"/>
      <c r="V148" s="5"/>
    </row>
    <row r="149" spans="1:23" x14ac:dyDescent="0.35">
      <c r="A149" s="305"/>
      <c r="B149" s="307"/>
      <c r="C149" s="307"/>
      <c r="D149" s="307"/>
      <c r="E149" s="307"/>
      <c r="F149" s="307"/>
      <c r="G149" s="307"/>
      <c r="H149" s="307"/>
      <c r="I149" s="307"/>
      <c r="J149" s="307"/>
      <c r="K149" s="307"/>
      <c r="L149" s="307"/>
      <c r="M149" s="307"/>
      <c r="N149" s="307"/>
      <c r="O149" s="307"/>
      <c r="P149" s="307"/>
      <c r="Q149" s="307"/>
      <c r="R149" s="307"/>
      <c r="S149" s="307"/>
      <c r="T149" s="339"/>
      <c r="U149" s="312"/>
      <c r="V149" s="5"/>
    </row>
    <row r="150" spans="1:23" x14ac:dyDescent="0.35">
      <c r="A150" s="305"/>
      <c r="B150" s="337" t="s">
        <v>266</v>
      </c>
      <c r="C150" s="307"/>
      <c r="D150" s="307"/>
      <c r="E150" s="307"/>
      <c r="F150" s="307"/>
      <c r="G150" s="307"/>
      <c r="H150" s="307"/>
      <c r="I150" s="307"/>
      <c r="J150" s="307"/>
      <c r="K150" s="307"/>
      <c r="L150" s="307"/>
      <c r="M150" s="307"/>
      <c r="N150" s="307"/>
      <c r="O150" s="307"/>
      <c r="P150" s="307"/>
      <c r="Q150" s="307"/>
      <c r="R150" s="307"/>
      <c r="S150" s="307"/>
      <c r="T150" s="339"/>
      <c r="U150" s="312"/>
      <c r="V150" s="5"/>
    </row>
    <row r="151" spans="1:23" x14ac:dyDescent="0.35">
      <c r="A151" s="305"/>
      <c r="B151" s="279" t="s">
        <v>163</v>
      </c>
      <c r="C151" s="279"/>
      <c r="D151" s="279"/>
      <c r="E151" s="279"/>
      <c r="F151" s="279"/>
      <c r="G151" s="279"/>
      <c r="H151" s="279"/>
      <c r="I151" s="279"/>
      <c r="J151" s="279"/>
      <c r="K151" s="279"/>
      <c r="L151" s="279"/>
      <c r="M151" s="279"/>
      <c r="N151" s="279"/>
      <c r="O151" s="279"/>
      <c r="P151" s="279"/>
      <c r="Q151" s="279"/>
      <c r="R151" s="279"/>
      <c r="S151" s="279"/>
      <c r="T151" s="333">
        <v>5750</v>
      </c>
      <c r="U151" s="282"/>
      <c r="V151" s="5"/>
    </row>
    <row r="152" spans="1:23" x14ac:dyDescent="0.35">
      <c r="A152" s="305"/>
      <c r="B152" s="279" t="s">
        <v>264</v>
      </c>
      <c r="C152" s="279"/>
      <c r="D152" s="279"/>
      <c r="E152" s="279"/>
      <c r="F152" s="279"/>
      <c r="G152" s="279"/>
      <c r="H152" s="279"/>
      <c r="I152" s="279"/>
      <c r="J152" s="279"/>
      <c r="K152" s="279"/>
      <c r="L152" s="279"/>
      <c r="M152" s="279"/>
      <c r="N152" s="279"/>
      <c r="O152" s="279"/>
      <c r="P152" s="279"/>
      <c r="Q152" s="279"/>
      <c r="R152" s="279"/>
      <c r="S152" s="279"/>
      <c r="T152" s="333">
        <v>0</v>
      </c>
      <c r="U152" s="282"/>
      <c r="V152" s="5"/>
    </row>
    <row r="153" spans="1:23" x14ac:dyDescent="0.35">
      <c r="A153" s="305"/>
      <c r="B153" s="279" t="s">
        <v>183</v>
      </c>
      <c r="C153" s="279"/>
      <c r="D153" s="279"/>
      <c r="E153" s="279"/>
      <c r="F153" s="279"/>
      <c r="G153" s="279"/>
      <c r="H153" s="279"/>
      <c r="I153" s="279"/>
      <c r="J153" s="279"/>
      <c r="K153" s="279"/>
      <c r="L153" s="279"/>
      <c r="M153" s="279"/>
      <c r="N153" s="279"/>
      <c r="O153" s="279"/>
      <c r="P153" s="279"/>
      <c r="Q153" s="279"/>
      <c r="R153" s="279"/>
      <c r="S153" s="279"/>
      <c r="T153" s="333">
        <v>0</v>
      </c>
      <c r="U153" s="282"/>
      <c r="V153" s="5"/>
    </row>
    <row r="154" spans="1:23" x14ac:dyDescent="0.35">
      <c r="A154" s="305"/>
      <c r="B154" s="279" t="s">
        <v>335</v>
      </c>
      <c r="C154" s="279"/>
      <c r="D154" s="279"/>
      <c r="E154" s="279"/>
      <c r="F154" s="279"/>
      <c r="G154" s="279"/>
      <c r="H154" s="279"/>
      <c r="I154" s="279"/>
      <c r="J154" s="279"/>
      <c r="K154" s="279"/>
      <c r="L154" s="279"/>
      <c r="M154" s="279"/>
      <c r="N154" s="279"/>
      <c r="O154" s="279"/>
      <c r="P154" s="279"/>
      <c r="Q154" s="279"/>
      <c r="R154" s="279"/>
      <c r="S154" s="279"/>
      <c r="T154" s="333">
        <v>0</v>
      </c>
      <c r="U154" s="282"/>
      <c r="V154" s="5"/>
    </row>
    <row r="155" spans="1:23" x14ac:dyDescent="0.35">
      <c r="A155" s="305"/>
      <c r="B155" s="307"/>
      <c r="C155" s="307"/>
      <c r="D155" s="307"/>
      <c r="E155" s="307"/>
      <c r="F155" s="307"/>
      <c r="G155" s="307"/>
      <c r="H155" s="307"/>
      <c r="I155" s="307"/>
      <c r="J155" s="307"/>
      <c r="K155" s="307"/>
      <c r="L155" s="307"/>
      <c r="M155" s="307"/>
      <c r="N155" s="307"/>
      <c r="O155" s="307"/>
      <c r="P155" s="307"/>
      <c r="Q155" s="307"/>
      <c r="R155" s="307"/>
      <c r="S155" s="307"/>
      <c r="T155" s="339"/>
      <c r="U155" s="312"/>
      <c r="V155" s="5"/>
    </row>
    <row r="156" spans="1:23" x14ac:dyDescent="0.35">
      <c r="A156" s="174"/>
      <c r="B156" s="329"/>
      <c r="C156" s="329"/>
      <c r="D156" s="329"/>
      <c r="E156" s="329"/>
      <c r="F156" s="329"/>
      <c r="G156" s="329"/>
      <c r="H156" s="329"/>
      <c r="I156" s="329"/>
      <c r="J156" s="329"/>
      <c r="K156" s="329"/>
      <c r="L156" s="329"/>
      <c r="M156" s="329"/>
      <c r="N156" s="329"/>
      <c r="O156" s="329"/>
      <c r="P156" s="329"/>
      <c r="Q156" s="329"/>
      <c r="R156" s="329"/>
      <c r="S156" s="329"/>
      <c r="T156" s="342"/>
      <c r="U156" s="329"/>
      <c r="V156" s="5"/>
    </row>
    <row r="157" spans="1:23" x14ac:dyDescent="0.35">
      <c r="A157" s="174"/>
      <c r="B157" s="200" t="s">
        <v>24</v>
      </c>
      <c r="C157" s="176"/>
      <c r="D157" s="176"/>
      <c r="E157" s="176"/>
      <c r="F157" s="176"/>
      <c r="G157" s="176"/>
      <c r="H157" s="176"/>
      <c r="I157" s="176"/>
      <c r="J157" s="176"/>
      <c r="K157" s="176"/>
      <c r="L157" s="176"/>
      <c r="M157" s="176"/>
      <c r="N157" s="176"/>
      <c r="O157" s="176"/>
      <c r="P157" s="176"/>
      <c r="Q157" s="176"/>
      <c r="R157" s="176"/>
      <c r="S157" s="176"/>
      <c r="T157" s="193"/>
      <c r="U157" s="176"/>
      <c r="V157" s="5"/>
    </row>
    <row r="158" spans="1:23" x14ac:dyDescent="0.35">
      <c r="A158" s="278"/>
      <c r="B158" s="279" t="s">
        <v>49</v>
      </c>
      <c r="C158" s="279"/>
      <c r="D158" s="279"/>
      <c r="E158" s="279"/>
      <c r="F158" s="279"/>
      <c r="G158" s="279"/>
      <c r="H158" s="279"/>
      <c r="I158" s="279"/>
      <c r="J158" s="279"/>
      <c r="K158" s="279"/>
      <c r="L158" s="279"/>
      <c r="M158" s="279"/>
      <c r="N158" s="279"/>
      <c r="O158" s="279"/>
      <c r="P158" s="279"/>
      <c r="Q158" s="279"/>
      <c r="R158" s="279"/>
      <c r="S158" s="279"/>
      <c r="T158" s="341" t="s">
        <v>125</v>
      </c>
      <c r="U158" s="282"/>
      <c r="V158" s="5"/>
    </row>
    <row r="159" spans="1:23" x14ac:dyDescent="0.35">
      <c r="A159" s="278"/>
      <c r="B159" s="279" t="s">
        <v>50</v>
      </c>
      <c r="C159" s="281"/>
      <c r="D159" s="281"/>
      <c r="E159" s="281"/>
      <c r="F159" s="281"/>
      <c r="G159" s="281"/>
      <c r="H159" s="281"/>
      <c r="I159" s="281"/>
      <c r="J159" s="281"/>
      <c r="K159" s="281"/>
      <c r="L159" s="281"/>
      <c r="M159" s="281"/>
      <c r="N159" s="281"/>
      <c r="O159" s="281"/>
      <c r="P159" s="281"/>
      <c r="Q159" s="281"/>
      <c r="R159" s="281"/>
      <c r="S159" s="281"/>
      <c r="T159" s="341" t="s">
        <v>125</v>
      </c>
      <c r="U159" s="282"/>
      <c r="V159" s="5"/>
    </row>
    <row r="160" spans="1:23" x14ac:dyDescent="0.35">
      <c r="A160" s="278"/>
      <c r="B160" s="279" t="s">
        <v>51</v>
      </c>
      <c r="C160" s="279"/>
      <c r="D160" s="279"/>
      <c r="E160" s="279"/>
      <c r="F160" s="279"/>
      <c r="G160" s="279"/>
      <c r="H160" s="279"/>
      <c r="I160" s="279"/>
      <c r="J160" s="279"/>
      <c r="K160" s="279"/>
      <c r="L160" s="279"/>
      <c r="M160" s="279"/>
      <c r="N160" s="279"/>
      <c r="O160" s="279"/>
      <c r="P160" s="279"/>
      <c r="Q160" s="279"/>
      <c r="R160" s="279"/>
      <c r="S160" s="279"/>
      <c r="T160" s="341" t="s">
        <v>125</v>
      </c>
      <c r="U160" s="282"/>
      <c r="V160" s="5"/>
    </row>
    <row r="161" spans="1:22" x14ac:dyDescent="0.35">
      <c r="A161" s="278"/>
      <c r="B161" s="279" t="s">
        <v>52</v>
      </c>
      <c r="C161" s="279"/>
      <c r="D161" s="279"/>
      <c r="E161" s="279"/>
      <c r="F161" s="279"/>
      <c r="G161" s="279"/>
      <c r="H161" s="279"/>
      <c r="I161" s="279"/>
      <c r="J161" s="279"/>
      <c r="K161" s="279"/>
      <c r="L161" s="279"/>
      <c r="M161" s="279"/>
      <c r="N161" s="279"/>
      <c r="O161" s="279"/>
      <c r="P161" s="279"/>
      <c r="Q161" s="279"/>
      <c r="R161" s="279"/>
      <c r="S161" s="279"/>
      <c r="T161" s="341" t="s">
        <v>125</v>
      </c>
      <c r="U161" s="282"/>
      <c r="V161" s="5"/>
    </row>
    <row r="162" spans="1:22" x14ac:dyDescent="0.35">
      <c r="A162" s="174"/>
      <c r="B162" s="329"/>
      <c r="C162" s="329"/>
      <c r="D162" s="329"/>
      <c r="E162" s="329"/>
      <c r="F162" s="329"/>
      <c r="G162" s="329"/>
      <c r="H162" s="329"/>
      <c r="I162" s="329"/>
      <c r="J162" s="329"/>
      <c r="K162" s="329"/>
      <c r="L162" s="329"/>
      <c r="M162" s="329"/>
      <c r="N162" s="329"/>
      <c r="O162" s="329"/>
      <c r="P162" s="329"/>
      <c r="Q162" s="329"/>
      <c r="R162" s="329"/>
      <c r="S162" s="329"/>
      <c r="T162" s="342"/>
      <c r="U162" s="329"/>
      <c r="V162" s="5"/>
    </row>
    <row r="163" spans="1:22" x14ac:dyDescent="0.35">
      <c r="A163" s="174"/>
      <c r="B163" s="200" t="s">
        <v>53</v>
      </c>
      <c r="C163" s="176"/>
      <c r="D163" s="176"/>
      <c r="E163" s="176"/>
      <c r="F163" s="176"/>
      <c r="G163" s="176"/>
      <c r="H163" s="176"/>
      <c r="I163" s="176"/>
      <c r="J163" s="176"/>
      <c r="K163" s="176"/>
      <c r="L163" s="176"/>
      <c r="M163" s="176"/>
      <c r="N163" s="176"/>
      <c r="O163" s="176"/>
      <c r="P163" s="176"/>
      <c r="Q163" s="176"/>
      <c r="R163" s="176"/>
      <c r="S163" s="176"/>
      <c r="T163" s="201"/>
      <c r="U163" s="176"/>
      <c r="V163" s="5"/>
    </row>
    <row r="164" spans="1:22" x14ac:dyDescent="0.35">
      <c r="A164" s="305"/>
      <c r="B164" s="279" t="s">
        <v>54</v>
      </c>
      <c r="C164" s="279"/>
      <c r="D164" s="279"/>
      <c r="E164" s="279"/>
      <c r="F164" s="279"/>
      <c r="G164" s="279"/>
      <c r="H164" s="279"/>
      <c r="I164" s="279"/>
      <c r="J164" s="279"/>
      <c r="K164" s="279"/>
      <c r="L164" s="279"/>
      <c r="M164" s="279"/>
      <c r="N164" s="279"/>
      <c r="O164" s="279"/>
      <c r="P164" s="279"/>
      <c r="Q164" s="279"/>
      <c r="R164" s="279"/>
      <c r="S164" s="279"/>
      <c r="T164" s="333">
        <v>0</v>
      </c>
      <c r="U164" s="282"/>
      <c r="V164" s="5"/>
    </row>
    <row r="165" spans="1:22" x14ac:dyDescent="0.35">
      <c r="A165" s="305"/>
      <c r="B165" s="279" t="s">
        <v>55</v>
      </c>
      <c r="C165" s="279"/>
      <c r="D165" s="279"/>
      <c r="E165" s="279"/>
      <c r="F165" s="279"/>
      <c r="G165" s="279"/>
      <c r="H165" s="279"/>
      <c r="I165" s="279"/>
      <c r="J165" s="279"/>
      <c r="K165" s="279"/>
      <c r="L165" s="279"/>
      <c r="M165" s="279"/>
      <c r="N165" s="279"/>
      <c r="O165" s="279"/>
      <c r="P165" s="279"/>
      <c r="Q165" s="279"/>
      <c r="R165" s="279"/>
      <c r="S165" s="279"/>
      <c r="T165" s="333">
        <v>-17</v>
      </c>
      <c r="U165" s="282"/>
      <c r="V165" s="5"/>
    </row>
    <row r="166" spans="1:22" x14ac:dyDescent="0.35">
      <c r="A166" s="305"/>
      <c r="B166" s="279" t="s">
        <v>56</v>
      </c>
      <c r="C166" s="279"/>
      <c r="D166" s="279"/>
      <c r="E166" s="279"/>
      <c r="F166" s="279"/>
      <c r="G166" s="279"/>
      <c r="H166" s="279"/>
      <c r="I166" s="279"/>
      <c r="J166" s="279"/>
      <c r="K166" s="279"/>
      <c r="L166" s="279"/>
      <c r="M166" s="279"/>
      <c r="N166" s="279"/>
      <c r="O166" s="279"/>
      <c r="P166" s="279"/>
      <c r="Q166" s="279"/>
      <c r="R166" s="279"/>
      <c r="S166" s="279"/>
      <c r="T166" s="333">
        <f>T165+T164</f>
        <v>-17</v>
      </c>
      <c r="U166" s="282"/>
      <c r="V166" s="5"/>
    </row>
    <row r="167" spans="1:22" x14ac:dyDescent="0.35">
      <c r="A167" s="305"/>
      <c r="B167" s="279" t="s">
        <v>314</v>
      </c>
      <c r="C167" s="279"/>
      <c r="D167" s="279"/>
      <c r="E167" s="279"/>
      <c r="F167" s="279"/>
      <c r="G167" s="279"/>
      <c r="H167" s="279"/>
      <c r="I167" s="279"/>
      <c r="J167" s="279"/>
      <c r="K167" s="279"/>
      <c r="L167" s="279"/>
      <c r="M167" s="279"/>
      <c r="N167" s="279"/>
      <c r="O167" s="279"/>
      <c r="P167" s="279"/>
      <c r="Q167" s="279"/>
      <c r="R167" s="279"/>
      <c r="S167" s="279"/>
      <c r="T167" s="333">
        <f>T114</f>
        <v>17</v>
      </c>
      <c r="U167" s="282"/>
      <c r="V167" s="5"/>
    </row>
    <row r="168" spans="1:22" x14ac:dyDescent="0.35">
      <c r="A168" s="305"/>
      <c r="B168" s="279" t="s">
        <v>57</v>
      </c>
      <c r="C168" s="279"/>
      <c r="D168" s="279"/>
      <c r="E168" s="279"/>
      <c r="F168" s="279"/>
      <c r="G168" s="279"/>
      <c r="H168" s="279"/>
      <c r="I168" s="279"/>
      <c r="J168" s="279"/>
      <c r="K168" s="279"/>
      <c r="L168" s="279"/>
      <c r="M168" s="279"/>
      <c r="N168" s="279"/>
      <c r="O168" s="279"/>
      <c r="P168" s="279"/>
      <c r="Q168" s="279"/>
      <c r="R168" s="279"/>
      <c r="S168" s="279"/>
      <c r="T168" s="333">
        <f>T166+T167</f>
        <v>0</v>
      </c>
      <c r="U168" s="282"/>
      <c r="V168" s="5"/>
    </row>
    <row r="169" spans="1:22" x14ac:dyDescent="0.35">
      <c r="A169" s="305"/>
      <c r="B169" s="279" t="s">
        <v>285</v>
      </c>
      <c r="C169" s="279"/>
      <c r="D169" s="279"/>
      <c r="E169" s="279"/>
      <c r="F169" s="279"/>
      <c r="G169" s="279"/>
      <c r="H169" s="279"/>
      <c r="I169" s="279"/>
      <c r="J169" s="279"/>
      <c r="K169" s="279"/>
      <c r="L169" s="279"/>
      <c r="M169" s="279"/>
      <c r="N169" s="279"/>
      <c r="O169" s="279"/>
      <c r="P169" s="279"/>
      <c r="Q169" s="279"/>
      <c r="R169" s="279"/>
      <c r="S169" s="279"/>
      <c r="T169" s="333">
        <v>0</v>
      </c>
      <c r="U169" s="282"/>
      <c r="V169" s="5"/>
    </row>
    <row r="170" spans="1:22" ht="16" thickBot="1" x14ac:dyDescent="0.4">
      <c r="A170" s="174"/>
      <c r="B170" s="329"/>
      <c r="C170" s="329"/>
      <c r="D170" s="329"/>
      <c r="E170" s="329"/>
      <c r="F170" s="329"/>
      <c r="G170" s="329"/>
      <c r="H170" s="329"/>
      <c r="I170" s="329"/>
      <c r="J170" s="329"/>
      <c r="K170" s="329"/>
      <c r="L170" s="329"/>
      <c r="M170" s="329"/>
      <c r="N170" s="329"/>
      <c r="O170" s="329"/>
      <c r="P170" s="329"/>
      <c r="Q170" s="329"/>
      <c r="R170" s="329"/>
      <c r="S170" s="329"/>
      <c r="T170" s="342"/>
      <c r="U170" s="329"/>
      <c r="V170" s="5"/>
    </row>
    <row r="171" spans="1:22" x14ac:dyDescent="0.35">
      <c r="A171" s="172"/>
      <c r="B171" s="173"/>
      <c r="C171" s="173"/>
      <c r="D171" s="173"/>
      <c r="E171" s="173"/>
      <c r="F171" s="173"/>
      <c r="G171" s="173"/>
      <c r="H171" s="173"/>
      <c r="I171" s="173"/>
      <c r="J171" s="173"/>
      <c r="K171" s="173"/>
      <c r="L171" s="173"/>
      <c r="M171" s="173"/>
      <c r="N171" s="173"/>
      <c r="O171" s="173"/>
      <c r="P171" s="173"/>
      <c r="Q171" s="173"/>
      <c r="R171" s="173"/>
      <c r="S171" s="173"/>
      <c r="T171" s="192"/>
      <c r="U171" s="173"/>
      <c r="V171" s="5"/>
    </row>
    <row r="172" spans="1:22" x14ac:dyDescent="0.35">
      <c r="A172" s="174"/>
      <c r="B172" s="200" t="s">
        <v>58</v>
      </c>
      <c r="C172" s="176"/>
      <c r="D172" s="176"/>
      <c r="E172" s="176"/>
      <c r="F172" s="176"/>
      <c r="G172" s="176"/>
      <c r="H172" s="176"/>
      <c r="I172" s="176"/>
      <c r="J172" s="176"/>
      <c r="K172" s="176"/>
      <c r="L172" s="176"/>
      <c r="M172" s="176"/>
      <c r="N172" s="176"/>
      <c r="O172" s="176"/>
      <c r="P172" s="176"/>
      <c r="Q172" s="176"/>
      <c r="R172" s="176"/>
      <c r="S172" s="176"/>
      <c r="T172" s="193"/>
      <c r="U172" s="176"/>
      <c r="V172" s="5"/>
    </row>
    <row r="173" spans="1:22" x14ac:dyDescent="0.35">
      <c r="A173" s="174"/>
      <c r="B173" s="187"/>
      <c r="C173" s="176"/>
      <c r="D173" s="176"/>
      <c r="E173" s="176"/>
      <c r="F173" s="176"/>
      <c r="G173" s="176"/>
      <c r="H173" s="176"/>
      <c r="I173" s="176"/>
      <c r="J173" s="176"/>
      <c r="K173" s="176"/>
      <c r="L173" s="176"/>
      <c r="M173" s="176"/>
      <c r="N173" s="176"/>
      <c r="O173" s="176"/>
      <c r="P173" s="176"/>
      <c r="Q173" s="176"/>
      <c r="R173" s="176"/>
      <c r="S173" s="176"/>
      <c r="T173" s="193"/>
      <c r="U173" s="176"/>
      <c r="V173" s="5"/>
    </row>
    <row r="174" spans="1:22" x14ac:dyDescent="0.35">
      <c r="A174" s="305"/>
      <c r="B174" s="279" t="s">
        <v>59</v>
      </c>
      <c r="C174" s="279"/>
      <c r="D174" s="279"/>
      <c r="E174" s="279"/>
      <c r="F174" s="279"/>
      <c r="G174" s="279"/>
      <c r="H174" s="279"/>
      <c r="I174" s="279"/>
      <c r="J174" s="279"/>
      <c r="K174" s="279"/>
      <c r="L174" s="279"/>
      <c r="M174" s="279"/>
      <c r="N174" s="279"/>
      <c r="O174" s="279"/>
      <c r="P174" s="279"/>
      <c r="Q174" s="279"/>
      <c r="R174" s="279"/>
      <c r="S174" s="279"/>
      <c r="T174" s="333">
        <f>T70</f>
        <v>368139</v>
      </c>
      <c r="U174" s="282"/>
      <c r="V174" s="5"/>
    </row>
    <row r="175" spans="1:22" x14ac:dyDescent="0.35">
      <c r="A175" s="305"/>
      <c r="B175" s="279" t="s">
        <v>60</v>
      </c>
      <c r="C175" s="279"/>
      <c r="D175" s="279"/>
      <c r="E175" s="279"/>
      <c r="F175" s="279"/>
      <c r="G175" s="279"/>
      <c r="H175" s="279"/>
      <c r="I175" s="279"/>
      <c r="J175" s="279"/>
      <c r="K175" s="279"/>
      <c r="L175" s="279"/>
      <c r="M175" s="279"/>
      <c r="N175" s="279"/>
      <c r="O175" s="279"/>
      <c r="P175" s="279"/>
      <c r="Q175" s="279"/>
      <c r="R175" s="279"/>
      <c r="S175" s="279"/>
      <c r="T175" s="333">
        <f>T83</f>
        <v>368139</v>
      </c>
      <c r="U175" s="282"/>
      <c r="V175" s="5"/>
    </row>
    <row r="176" spans="1:22" ht="16" thickBot="1" x14ac:dyDescent="0.4">
      <c r="A176" s="174"/>
      <c r="B176" s="329"/>
      <c r="C176" s="329"/>
      <c r="D176" s="329"/>
      <c r="E176" s="329"/>
      <c r="F176" s="329"/>
      <c r="G176" s="329"/>
      <c r="H176" s="329"/>
      <c r="I176" s="329"/>
      <c r="J176" s="329"/>
      <c r="K176" s="329"/>
      <c r="L176" s="329"/>
      <c r="M176" s="329"/>
      <c r="N176" s="329"/>
      <c r="O176" s="329"/>
      <c r="P176" s="329"/>
      <c r="Q176" s="329"/>
      <c r="R176" s="329"/>
      <c r="S176" s="329"/>
      <c r="T176" s="342"/>
      <c r="U176" s="329"/>
      <c r="V176" s="5"/>
    </row>
    <row r="177" spans="1:22" x14ac:dyDescent="0.35">
      <c r="A177" s="172"/>
      <c r="B177" s="173"/>
      <c r="C177" s="173"/>
      <c r="D177" s="173"/>
      <c r="E177" s="173"/>
      <c r="F177" s="173"/>
      <c r="G177" s="173"/>
      <c r="H177" s="173"/>
      <c r="I177" s="173"/>
      <c r="J177" s="173"/>
      <c r="K177" s="173"/>
      <c r="L177" s="173"/>
      <c r="M177" s="173"/>
      <c r="N177" s="173"/>
      <c r="O177" s="173"/>
      <c r="P177" s="173"/>
      <c r="Q177" s="173"/>
      <c r="R177" s="173"/>
      <c r="S177" s="173"/>
      <c r="T177" s="192"/>
      <c r="U177" s="173"/>
      <c r="V177" s="5"/>
    </row>
    <row r="178" spans="1:22" x14ac:dyDescent="0.35">
      <c r="A178" s="174"/>
      <c r="B178" s="200" t="s">
        <v>61</v>
      </c>
      <c r="C178" s="197"/>
      <c r="D178" s="197"/>
      <c r="E178" s="197"/>
      <c r="F178" s="197"/>
      <c r="G178" s="197"/>
      <c r="H178" s="202"/>
      <c r="I178" s="202"/>
      <c r="J178" s="202"/>
      <c r="K178" s="202"/>
      <c r="L178" s="202"/>
      <c r="M178" s="202"/>
      <c r="N178" s="202"/>
      <c r="O178" s="202"/>
      <c r="P178" s="202"/>
      <c r="Q178" s="202" t="s">
        <v>105</v>
      </c>
      <c r="R178" s="202" t="s">
        <v>187</v>
      </c>
      <c r="S178" s="178"/>
      <c r="T178" s="203" t="s">
        <v>121</v>
      </c>
      <c r="U178" s="204"/>
      <c r="V178" s="5"/>
    </row>
    <row r="179" spans="1:22" x14ac:dyDescent="0.35">
      <c r="A179" s="305"/>
      <c r="B179" s="279" t="s">
        <v>62</v>
      </c>
      <c r="C179" s="279"/>
      <c r="D179" s="279"/>
      <c r="E179" s="279"/>
      <c r="F179" s="279"/>
      <c r="G179" s="279"/>
      <c r="H179" s="279"/>
      <c r="I179" s="279"/>
      <c r="J179" s="279"/>
      <c r="K179" s="279"/>
      <c r="L179" s="279"/>
      <c r="M179" s="279"/>
      <c r="N179" s="279"/>
      <c r="O179" s="279"/>
      <c r="P179" s="279"/>
      <c r="Q179" s="333">
        <f>+T34*0.16</f>
        <v>160056.48000000001</v>
      </c>
      <c r="R179" s="319"/>
      <c r="S179" s="279"/>
      <c r="T179" s="333"/>
      <c r="U179" s="282"/>
      <c r="V179" s="5"/>
    </row>
    <row r="180" spans="1:22" x14ac:dyDescent="0.35">
      <c r="A180" s="305"/>
      <c r="B180" s="279" t="s">
        <v>63</v>
      </c>
      <c r="C180" s="279"/>
      <c r="D180" s="279"/>
      <c r="E180" s="279"/>
      <c r="F180" s="279"/>
      <c r="G180" s="279"/>
      <c r="H180" s="279"/>
      <c r="I180" s="279"/>
      <c r="J180" s="279"/>
      <c r="K180" s="279"/>
      <c r="L180" s="279"/>
      <c r="M180" s="279"/>
      <c r="N180" s="279"/>
      <c r="O180" s="279"/>
      <c r="P180" s="279"/>
      <c r="Q180" s="333">
        <f>+'May 17'!Q182</f>
        <v>46134</v>
      </c>
      <c r="R180" s="333">
        <f>+'May 17'!R182</f>
        <v>5995</v>
      </c>
      <c r="S180" s="279"/>
      <c r="T180" s="333">
        <f>Q180+R180</f>
        <v>52129</v>
      </c>
      <c r="U180" s="282"/>
      <c r="V180" s="5"/>
    </row>
    <row r="181" spans="1:22" x14ac:dyDescent="0.35">
      <c r="A181" s="305"/>
      <c r="B181" s="279" t="s">
        <v>64</v>
      </c>
      <c r="C181" s="279"/>
      <c r="D181" s="279"/>
      <c r="E181" s="279"/>
      <c r="F181" s="279"/>
      <c r="G181" s="279"/>
      <c r="H181" s="279"/>
      <c r="I181" s="279"/>
      <c r="J181" s="279"/>
      <c r="K181" s="279"/>
      <c r="L181" s="279"/>
      <c r="M181" s="279"/>
      <c r="N181" s="279"/>
      <c r="O181" s="279"/>
      <c r="P181" s="279"/>
      <c r="Q181" s="332">
        <v>30</v>
      </c>
      <c r="R181" s="332">
        <v>0</v>
      </c>
      <c r="S181" s="279"/>
      <c r="T181" s="333">
        <f>Q181+R181</f>
        <v>30</v>
      </c>
      <c r="U181" s="282"/>
      <c r="V181" s="5"/>
    </row>
    <row r="182" spans="1:22" x14ac:dyDescent="0.35">
      <c r="A182" s="305"/>
      <c r="B182" s="279" t="s">
        <v>65</v>
      </c>
      <c r="C182" s="279"/>
      <c r="D182" s="279"/>
      <c r="E182" s="279"/>
      <c r="F182" s="279"/>
      <c r="G182" s="279"/>
      <c r="H182" s="279"/>
      <c r="I182" s="279"/>
      <c r="J182" s="279"/>
      <c r="K182" s="279"/>
      <c r="L182" s="279"/>
      <c r="M182" s="279"/>
      <c r="N182" s="279"/>
      <c r="O182" s="279"/>
      <c r="P182" s="279"/>
      <c r="Q182" s="333">
        <f>Q180+Q181</f>
        <v>46164</v>
      </c>
      <c r="R182" s="333">
        <f>R181+R180</f>
        <v>5995</v>
      </c>
      <c r="S182" s="279"/>
      <c r="T182" s="333">
        <f>Q182+R182</f>
        <v>52159</v>
      </c>
      <c r="U182" s="282"/>
      <c r="V182" s="5"/>
    </row>
    <row r="183" spans="1:22" x14ac:dyDescent="0.35">
      <c r="A183" s="305"/>
      <c r="B183" s="279" t="s">
        <v>66</v>
      </c>
      <c r="C183" s="279"/>
      <c r="D183" s="279"/>
      <c r="E183" s="279"/>
      <c r="F183" s="279"/>
      <c r="G183" s="279"/>
      <c r="H183" s="279"/>
      <c r="I183" s="279"/>
      <c r="J183" s="279"/>
      <c r="K183" s="279"/>
      <c r="L183" s="279"/>
      <c r="M183" s="279"/>
      <c r="N183" s="279"/>
      <c r="O183" s="279"/>
      <c r="P183" s="279"/>
      <c r="Q183" s="333">
        <f>Q179-Q182-R182</f>
        <v>107897.48000000001</v>
      </c>
      <c r="R183" s="319"/>
      <c r="S183" s="279"/>
      <c r="T183" s="333"/>
      <c r="U183" s="282"/>
      <c r="V183" s="5"/>
    </row>
    <row r="184" spans="1:22" ht="16" thickBot="1" x14ac:dyDescent="0.4">
      <c r="A184" s="174"/>
      <c r="B184" s="329"/>
      <c r="C184" s="329"/>
      <c r="D184" s="329"/>
      <c r="E184" s="329"/>
      <c r="F184" s="329"/>
      <c r="G184" s="329"/>
      <c r="H184" s="329"/>
      <c r="I184" s="329"/>
      <c r="J184" s="329"/>
      <c r="K184" s="329"/>
      <c r="L184" s="329"/>
      <c r="M184" s="329"/>
      <c r="N184" s="329"/>
      <c r="O184" s="329"/>
      <c r="P184" s="329"/>
      <c r="Q184" s="329"/>
      <c r="R184" s="329"/>
      <c r="S184" s="329"/>
      <c r="T184" s="342"/>
      <c r="U184" s="329"/>
      <c r="V184" s="5"/>
    </row>
    <row r="185" spans="1:22" x14ac:dyDescent="0.35">
      <c r="A185" s="172"/>
      <c r="B185" s="173"/>
      <c r="C185" s="173"/>
      <c r="D185" s="173"/>
      <c r="E185" s="173"/>
      <c r="F185" s="173"/>
      <c r="G185" s="173"/>
      <c r="H185" s="173"/>
      <c r="I185" s="173"/>
      <c r="J185" s="173"/>
      <c r="K185" s="173"/>
      <c r="L185" s="173"/>
      <c r="M185" s="173"/>
      <c r="N185" s="173"/>
      <c r="O185" s="173"/>
      <c r="P185" s="173"/>
      <c r="Q185" s="173"/>
      <c r="R185" s="173"/>
      <c r="S185" s="173"/>
      <c r="T185" s="192"/>
      <c r="U185" s="173"/>
      <c r="V185" s="5"/>
    </row>
    <row r="186" spans="1:22" x14ac:dyDescent="0.35">
      <c r="A186" s="174"/>
      <c r="B186" s="200" t="s">
        <v>67</v>
      </c>
      <c r="C186" s="176"/>
      <c r="D186" s="176"/>
      <c r="E186" s="176"/>
      <c r="F186" s="176"/>
      <c r="G186" s="176"/>
      <c r="H186" s="176"/>
      <c r="I186" s="176"/>
      <c r="J186" s="176"/>
      <c r="K186" s="176"/>
      <c r="L186" s="176"/>
      <c r="M186" s="176"/>
      <c r="N186" s="176"/>
      <c r="O186" s="176"/>
      <c r="P186" s="176"/>
      <c r="Q186" s="176"/>
      <c r="R186" s="176"/>
      <c r="S186" s="176"/>
      <c r="T186" s="205"/>
      <c r="U186" s="176"/>
      <c r="V186" s="5"/>
    </row>
    <row r="187" spans="1:22" x14ac:dyDescent="0.35">
      <c r="A187" s="305"/>
      <c r="B187" s="279" t="s">
        <v>68</v>
      </c>
      <c r="C187" s="279"/>
      <c r="D187" s="279"/>
      <c r="E187" s="279"/>
      <c r="F187" s="279"/>
      <c r="G187" s="279"/>
      <c r="H187" s="279"/>
      <c r="I187" s="279"/>
      <c r="J187" s="279"/>
      <c r="K187" s="279"/>
      <c r="L187" s="279"/>
      <c r="M187" s="279"/>
      <c r="N187" s="279"/>
      <c r="O187" s="279"/>
      <c r="P187" s="279"/>
      <c r="Q187" s="279"/>
      <c r="R187" s="279"/>
      <c r="S187" s="279"/>
      <c r="T187" s="341">
        <f>(T99+T101+T102+T103+T104+T105)/-(T106+T107)</f>
        <v>4.4533029612756261</v>
      </c>
      <c r="U187" s="282" t="s">
        <v>122</v>
      </c>
      <c r="V187" s="5"/>
    </row>
    <row r="188" spans="1:22" x14ac:dyDescent="0.35">
      <c r="A188" s="305"/>
      <c r="B188" s="279" t="s">
        <v>69</v>
      </c>
      <c r="C188" s="279"/>
      <c r="D188" s="279"/>
      <c r="E188" s="279"/>
      <c r="F188" s="279"/>
      <c r="G188" s="279"/>
      <c r="H188" s="279"/>
      <c r="I188" s="279"/>
      <c r="J188" s="279"/>
      <c r="K188" s="279"/>
      <c r="L188" s="279"/>
      <c r="M188" s="279"/>
      <c r="N188" s="279"/>
      <c r="O188" s="279"/>
      <c r="P188" s="279"/>
      <c r="Q188" s="279"/>
      <c r="R188" s="279"/>
      <c r="S188" s="279"/>
      <c r="T188" s="343">
        <v>1.77</v>
      </c>
      <c r="U188" s="282" t="s">
        <v>122</v>
      </c>
      <c r="V188" s="5"/>
    </row>
    <row r="189" spans="1:22" x14ac:dyDescent="0.35">
      <c r="A189" s="305"/>
      <c r="B189" s="279" t="s">
        <v>70</v>
      </c>
      <c r="C189" s="279"/>
      <c r="D189" s="279"/>
      <c r="E189" s="279"/>
      <c r="F189" s="279"/>
      <c r="G189" s="279"/>
      <c r="H189" s="279"/>
      <c r="I189" s="279"/>
      <c r="J189" s="279"/>
      <c r="K189" s="279"/>
      <c r="L189" s="279"/>
      <c r="M189" s="279"/>
      <c r="N189" s="279"/>
      <c r="O189" s="279"/>
      <c r="P189" s="279"/>
      <c r="Q189" s="279"/>
      <c r="R189" s="279"/>
      <c r="S189" s="279"/>
      <c r="T189" s="341">
        <f>(T99+T101+T102+T103+T104+T105+T106+T107)/-(T108+T109)</f>
        <v>21.657142857142858</v>
      </c>
      <c r="U189" s="282" t="s">
        <v>122</v>
      </c>
      <c r="V189" s="5"/>
    </row>
    <row r="190" spans="1:22" x14ac:dyDescent="0.35">
      <c r="A190" s="305"/>
      <c r="B190" s="279" t="s">
        <v>71</v>
      </c>
      <c r="C190" s="279"/>
      <c r="D190" s="279"/>
      <c r="E190" s="279"/>
      <c r="F190" s="279"/>
      <c r="G190" s="279"/>
      <c r="H190" s="279"/>
      <c r="I190" s="279"/>
      <c r="J190" s="279"/>
      <c r="K190" s="279"/>
      <c r="L190" s="279"/>
      <c r="M190" s="279"/>
      <c r="N190" s="279"/>
      <c r="O190" s="279"/>
      <c r="P190" s="279"/>
      <c r="Q190" s="279"/>
      <c r="R190" s="279"/>
      <c r="S190" s="279"/>
      <c r="T190" s="343">
        <v>9.61</v>
      </c>
      <c r="U190" s="282" t="s">
        <v>122</v>
      </c>
      <c r="V190" s="5"/>
    </row>
    <row r="191" spans="1:22" x14ac:dyDescent="0.35">
      <c r="A191" s="305"/>
      <c r="B191" s="279" t="s">
        <v>232</v>
      </c>
      <c r="C191" s="279"/>
      <c r="D191" s="279"/>
      <c r="E191" s="279"/>
      <c r="F191" s="279"/>
      <c r="G191" s="279"/>
      <c r="H191" s="279"/>
      <c r="I191" s="279"/>
      <c r="J191" s="279"/>
      <c r="K191" s="279"/>
      <c r="L191" s="279"/>
      <c r="M191" s="279"/>
      <c r="N191" s="279"/>
      <c r="O191" s="279"/>
      <c r="P191" s="279"/>
      <c r="Q191" s="279"/>
      <c r="R191" s="279"/>
      <c r="S191" s="279"/>
      <c r="T191" s="341">
        <f>(T99+T101+T102+T103+T104+T105+T106+T107+T108+T109)/-(T110+T111)</f>
        <v>7.6914893617021276</v>
      </c>
      <c r="U191" s="282" t="s">
        <v>122</v>
      </c>
      <c r="V191" s="5"/>
    </row>
    <row r="192" spans="1:22" x14ac:dyDescent="0.35">
      <c r="A192" s="305"/>
      <c r="B192" s="279" t="s">
        <v>233</v>
      </c>
      <c r="C192" s="279"/>
      <c r="D192" s="279"/>
      <c r="E192" s="279"/>
      <c r="F192" s="279"/>
      <c r="G192" s="279"/>
      <c r="H192" s="279"/>
      <c r="I192" s="279"/>
      <c r="J192" s="279"/>
      <c r="K192" s="279"/>
      <c r="L192" s="279"/>
      <c r="M192" s="279"/>
      <c r="N192" s="279"/>
      <c r="O192" s="279"/>
      <c r="P192" s="279"/>
      <c r="Q192" s="279"/>
      <c r="R192" s="279"/>
      <c r="S192" s="279"/>
      <c r="T192" s="343">
        <v>4.62</v>
      </c>
      <c r="U192" s="282" t="s">
        <v>122</v>
      </c>
      <c r="V192" s="5"/>
    </row>
    <row r="193" spans="1:22" x14ac:dyDescent="0.35">
      <c r="A193" s="305"/>
      <c r="B193" s="307"/>
      <c r="C193" s="307"/>
      <c r="D193" s="307"/>
      <c r="E193" s="307"/>
      <c r="F193" s="307"/>
      <c r="G193" s="307"/>
      <c r="H193" s="307"/>
      <c r="I193" s="307"/>
      <c r="J193" s="307"/>
      <c r="K193" s="307"/>
      <c r="L193" s="307"/>
      <c r="M193" s="307"/>
      <c r="N193" s="307"/>
      <c r="O193" s="307"/>
      <c r="P193" s="307"/>
      <c r="Q193" s="307"/>
      <c r="R193" s="307"/>
      <c r="S193" s="307"/>
      <c r="T193" s="307"/>
      <c r="U193" s="312"/>
      <c r="V193" s="5"/>
    </row>
    <row r="194" spans="1:22" x14ac:dyDescent="0.35">
      <c r="A194" s="174"/>
      <c r="B194" s="329"/>
      <c r="C194" s="329"/>
      <c r="D194" s="329"/>
      <c r="E194" s="329"/>
      <c r="F194" s="329"/>
      <c r="G194" s="329"/>
      <c r="H194" s="329"/>
      <c r="I194" s="329"/>
      <c r="J194" s="329"/>
      <c r="K194" s="329"/>
      <c r="L194" s="329"/>
      <c r="M194" s="329"/>
      <c r="N194" s="329"/>
      <c r="O194" s="329"/>
      <c r="P194" s="329"/>
      <c r="Q194" s="329"/>
      <c r="R194" s="329"/>
      <c r="S194" s="329"/>
      <c r="T194" s="329"/>
      <c r="U194" s="329"/>
      <c r="V194" s="5"/>
    </row>
    <row r="195" spans="1:22" x14ac:dyDescent="0.35">
      <c r="A195" s="174"/>
      <c r="B195" s="176"/>
      <c r="C195" s="176"/>
      <c r="D195" s="176"/>
      <c r="E195" s="176"/>
      <c r="F195" s="176"/>
      <c r="G195" s="176"/>
      <c r="H195" s="176"/>
      <c r="I195" s="176"/>
      <c r="J195" s="176"/>
      <c r="K195" s="176"/>
      <c r="L195" s="176"/>
      <c r="M195" s="176"/>
      <c r="N195" s="176"/>
      <c r="O195" s="176"/>
      <c r="P195" s="176"/>
      <c r="Q195" s="176"/>
      <c r="R195" s="176"/>
      <c r="S195" s="176"/>
      <c r="T195" s="176"/>
      <c r="U195" s="176"/>
      <c r="V195" s="5"/>
    </row>
    <row r="196" spans="1:22" ht="18" thickBot="1" x14ac:dyDescent="0.4">
      <c r="A196" s="191"/>
      <c r="B196" s="233" t="str">
        <f>B135</f>
        <v>PM10 INVESTOR REPORT QUARTER ENDING AUGUST 2017</v>
      </c>
      <c r="C196" s="206"/>
      <c r="D196" s="206"/>
      <c r="E196" s="206"/>
      <c r="F196" s="206"/>
      <c r="G196" s="206"/>
      <c r="H196" s="206"/>
      <c r="I196" s="206"/>
      <c r="J196" s="206"/>
      <c r="K196" s="206"/>
      <c r="L196" s="206"/>
      <c r="M196" s="206"/>
      <c r="N196" s="206"/>
      <c r="O196" s="206"/>
      <c r="P196" s="206"/>
      <c r="Q196" s="206"/>
      <c r="R196" s="206"/>
      <c r="S196" s="206"/>
      <c r="T196" s="206"/>
      <c r="U196" s="207"/>
      <c r="V196" s="5"/>
    </row>
    <row r="197" spans="1:22" x14ac:dyDescent="0.35">
      <c r="A197" s="264"/>
      <c r="B197" s="389" t="s">
        <v>72</v>
      </c>
      <c r="C197" s="390"/>
      <c r="D197" s="390"/>
      <c r="E197" s="390"/>
      <c r="F197" s="390"/>
      <c r="G197" s="391"/>
      <c r="H197" s="391"/>
      <c r="I197" s="391"/>
      <c r="J197" s="391"/>
      <c r="K197" s="391"/>
      <c r="L197" s="391"/>
      <c r="M197" s="391"/>
      <c r="N197" s="391"/>
      <c r="O197" s="391"/>
      <c r="P197" s="391"/>
      <c r="Q197" s="391"/>
      <c r="R197" s="391">
        <v>42978</v>
      </c>
      <c r="S197" s="265"/>
      <c r="T197" s="265"/>
      <c r="U197" s="265"/>
      <c r="V197" s="5"/>
    </row>
    <row r="198" spans="1:22" x14ac:dyDescent="0.35">
      <c r="A198" s="208"/>
      <c r="B198" s="209"/>
      <c r="C198" s="210"/>
      <c r="D198" s="210"/>
      <c r="E198" s="210"/>
      <c r="F198" s="210"/>
      <c r="G198" s="211"/>
      <c r="H198" s="211"/>
      <c r="I198" s="211"/>
      <c r="J198" s="211"/>
      <c r="K198" s="211"/>
      <c r="L198" s="211"/>
      <c r="M198" s="211"/>
      <c r="N198" s="211"/>
      <c r="O198" s="211"/>
      <c r="P198" s="211"/>
      <c r="Q198" s="211"/>
      <c r="R198" s="211"/>
      <c r="S198" s="176"/>
      <c r="T198" s="176"/>
      <c r="U198" s="176"/>
      <c r="V198" s="5"/>
    </row>
    <row r="199" spans="1:22" x14ac:dyDescent="0.35">
      <c r="A199" s="346"/>
      <c r="B199" s="279" t="s">
        <v>73</v>
      </c>
      <c r="C199" s="347"/>
      <c r="D199" s="347"/>
      <c r="E199" s="347"/>
      <c r="F199" s="347"/>
      <c r="G199" s="324"/>
      <c r="H199" s="324"/>
      <c r="I199" s="324"/>
      <c r="J199" s="324"/>
      <c r="K199" s="324"/>
      <c r="L199" s="324"/>
      <c r="M199" s="324"/>
      <c r="N199" s="324"/>
      <c r="O199" s="324"/>
      <c r="P199" s="324"/>
      <c r="Q199" s="324"/>
      <c r="R199" s="315">
        <v>5.3960000000000001E-2</v>
      </c>
      <c r="S199" s="279"/>
      <c r="T199" s="279"/>
      <c r="U199" s="282"/>
      <c r="V199" s="5"/>
    </row>
    <row r="200" spans="1:22" x14ac:dyDescent="0.35">
      <c r="A200" s="346"/>
      <c r="B200" s="279" t="s">
        <v>159</v>
      </c>
      <c r="C200" s="347"/>
      <c r="D200" s="347"/>
      <c r="E200" s="347"/>
      <c r="F200" s="347"/>
      <c r="G200" s="324"/>
      <c r="H200" s="324"/>
      <c r="I200" s="324"/>
      <c r="J200" s="324"/>
      <c r="K200" s="324"/>
      <c r="L200" s="324"/>
      <c r="M200" s="324"/>
      <c r="N200" s="324"/>
      <c r="O200" s="324"/>
      <c r="P200" s="324"/>
      <c r="Q200" s="324"/>
      <c r="R200" s="315">
        <v>4.7399999999999998E-2</v>
      </c>
      <c r="S200" s="279"/>
      <c r="T200" s="279"/>
      <c r="U200" s="282"/>
      <c r="V200" s="5"/>
    </row>
    <row r="201" spans="1:22" x14ac:dyDescent="0.35">
      <c r="A201" s="346"/>
      <c r="B201" s="279" t="s">
        <v>74</v>
      </c>
      <c r="C201" s="347"/>
      <c r="D201" s="347"/>
      <c r="E201" s="347"/>
      <c r="F201" s="347"/>
      <c r="G201" s="324"/>
      <c r="H201" s="324"/>
      <c r="I201" s="324"/>
      <c r="J201" s="324"/>
      <c r="K201" s="324"/>
      <c r="L201" s="324"/>
      <c r="M201" s="324"/>
      <c r="N201" s="324"/>
      <c r="O201" s="324"/>
      <c r="P201" s="324"/>
      <c r="Q201" s="324"/>
      <c r="R201" s="315">
        <f>R199-R200</f>
        <v>6.5600000000000033E-3</v>
      </c>
      <c r="S201" s="279"/>
      <c r="T201" s="279"/>
      <c r="U201" s="282"/>
      <c r="V201" s="5"/>
    </row>
    <row r="202" spans="1:22" x14ac:dyDescent="0.35">
      <c r="A202" s="346"/>
      <c r="B202" s="279" t="s">
        <v>75</v>
      </c>
      <c r="C202" s="347"/>
      <c r="D202" s="347"/>
      <c r="E202" s="347"/>
      <c r="F202" s="347"/>
      <c r="G202" s="324"/>
      <c r="H202" s="324"/>
      <c r="I202" s="324"/>
      <c r="J202" s="324"/>
      <c r="K202" s="324"/>
      <c r="L202" s="324"/>
      <c r="M202" s="324"/>
      <c r="N202" s="324"/>
      <c r="O202" s="324"/>
      <c r="P202" s="324"/>
      <c r="Q202" s="324"/>
      <c r="R202" s="315">
        <v>2.0629999999999999E-2</v>
      </c>
      <c r="S202" s="279"/>
      <c r="T202" s="279"/>
      <c r="U202" s="282"/>
      <c r="V202" s="5"/>
    </row>
    <row r="203" spans="1:22" x14ac:dyDescent="0.35">
      <c r="A203" s="346"/>
      <c r="B203" s="279" t="s">
        <v>262</v>
      </c>
      <c r="C203" s="347"/>
      <c r="D203" s="347"/>
      <c r="E203" s="347"/>
      <c r="F203" s="347"/>
      <c r="G203" s="324"/>
      <c r="H203" s="324"/>
      <c r="I203" s="324"/>
      <c r="J203" s="324"/>
      <c r="K203" s="324"/>
      <c r="L203" s="324"/>
      <c r="M203" s="324"/>
      <c r="N203" s="324"/>
      <c r="O203" s="324"/>
      <c r="P203" s="324"/>
      <c r="Q203" s="324"/>
      <c r="R203" s="315">
        <f>T43</f>
        <v>7.4238902515736359E-3</v>
      </c>
      <c r="S203" s="279"/>
      <c r="T203" s="279"/>
      <c r="U203" s="282"/>
      <c r="V203" s="5"/>
    </row>
    <row r="204" spans="1:22" x14ac:dyDescent="0.35">
      <c r="A204" s="346"/>
      <c r="B204" s="279" t="s">
        <v>76</v>
      </c>
      <c r="C204" s="347"/>
      <c r="D204" s="347"/>
      <c r="E204" s="347"/>
      <c r="F204" s="347"/>
      <c r="G204" s="324"/>
      <c r="H204" s="324"/>
      <c r="I204" s="324"/>
      <c r="J204" s="324"/>
      <c r="K204" s="324"/>
      <c r="L204" s="324"/>
      <c r="M204" s="324"/>
      <c r="N204" s="324"/>
      <c r="O204" s="324"/>
      <c r="P204" s="324"/>
      <c r="Q204" s="324"/>
      <c r="R204" s="315">
        <f>R202-R203</f>
        <v>1.3206109748426363E-2</v>
      </c>
      <c r="S204" s="279"/>
      <c r="T204" s="279"/>
      <c r="U204" s="282"/>
      <c r="V204" s="5"/>
    </row>
    <row r="205" spans="1:22" x14ac:dyDescent="0.35">
      <c r="A205" s="346"/>
      <c r="B205" s="279" t="s">
        <v>269</v>
      </c>
      <c r="C205" s="347"/>
      <c r="D205" s="347"/>
      <c r="E205" s="347"/>
      <c r="F205" s="347"/>
      <c r="G205" s="324"/>
      <c r="H205" s="324"/>
      <c r="I205" s="324"/>
      <c r="J205" s="324"/>
      <c r="K205" s="324"/>
      <c r="L205" s="324"/>
      <c r="M205" s="324"/>
      <c r="N205" s="324"/>
      <c r="O205" s="324"/>
      <c r="P205" s="324"/>
      <c r="Q205" s="324"/>
      <c r="R205" s="315">
        <f>+T99/L67</f>
        <v>5.9406418791103531E-3</v>
      </c>
      <c r="S205" s="279"/>
      <c r="T205" s="279"/>
      <c r="U205" s="282"/>
      <c r="V205" s="5"/>
    </row>
    <row r="206" spans="1:22" x14ac:dyDescent="0.35">
      <c r="A206" s="346"/>
      <c r="B206" s="279" t="s">
        <v>251</v>
      </c>
      <c r="C206" s="347"/>
      <c r="D206" s="347"/>
      <c r="E206" s="347"/>
      <c r="F206" s="347"/>
      <c r="G206" s="324"/>
      <c r="H206" s="324"/>
      <c r="I206" s="324"/>
      <c r="J206" s="324"/>
      <c r="K206" s="324"/>
      <c r="L206" s="324"/>
      <c r="M206" s="324"/>
      <c r="N206" s="324"/>
      <c r="O206" s="324"/>
      <c r="P206" s="324"/>
      <c r="Q206" s="324"/>
      <c r="R206" s="348">
        <v>51653</v>
      </c>
      <c r="S206" s="279"/>
      <c r="T206" s="279"/>
      <c r="U206" s="282"/>
      <c r="V206" s="5"/>
    </row>
    <row r="207" spans="1:22" x14ac:dyDescent="0.35">
      <c r="A207" s="346"/>
      <c r="B207" s="279" t="s">
        <v>252</v>
      </c>
      <c r="C207" s="347"/>
      <c r="D207" s="347"/>
      <c r="E207" s="347"/>
      <c r="F207" s="347"/>
      <c r="G207" s="324"/>
      <c r="H207" s="324"/>
      <c r="I207" s="324"/>
      <c r="J207" s="324"/>
      <c r="K207" s="324"/>
      <c r="L207" s="324"/>
      <c r="M207" s="324"/>
      <c r="N207" s="324"/>
      <c r="O207" s="324"/>
      <c r="P207" s="324"/>
      <c r="Q207" s="324"/>
      <c r="R207" s="348">
        <v>51653</v>
      </c>
      <c r="S207" s="279"/>
      <c r="T207" s="279"/>
      <c r="U207" s="282"/>
      <c r="V207" s="5"/>
    </row>
    <row r="208" spans="1:22" x14ac:dyDescent="0.35">
      <c r="A208" s="346"/>
      <c r="B208" s="279" t="s">
        <v>253</v>
      </c>
      <c r="C208" s="347"/>
      <c r="D208" s="347"/>
      <c r="E208" s="347"/>
      <c r="F208" s="347"/>
      <c r="G208" s="324"/>
      <c r="H208" s="324"/>
      <c r="I208" s="324"/>
      <c r="J208" s="324"/>
      <c r="K208" s="324"/>
      <c r="L208" s="324"/>
      <c r="M208" s="324"/>
      <c r="N208" s="324"/>
      <c r="O208" s="324"/>
      <c r="P208" s="324"/>
      <c r="Q208" s="324"/>
      <c r="R208" s="348">
        <v>51653</v>
      </c>
      <c r="S208" s="279"/>
      <c r="T208" s="279"/>
      <c r="U208" s="282"/>
      <c r="V208" s="5"/>
    </row>
    <row r="209" spans="1:22" x14ac:dyDescent="0.35">
      <c r="A209" s="346"/>
      <c r="B209" s="279" t="s">
        <v>77</v>
      </c>
      <c r="C209" s="347"/>
      <c r="D209" s="347"/>
      <c r="E209" s="347"/>
      <c r="F209" s="347"/>
      <c r="G209" s="324"/>
      <c r="H209" s="324"/>
      <c r="I209" s="324"/>
      <c r="J209" s="324"/>
      <c r="K209" s="324"/>
      <c r="L209" s="324"/>
      <c r="M209" s="324"/>
      <c r="N209" s="324"/>
      <c r="O209" s="324"/>
      <c r="P209" s="324"/>
      <c r="Q209" s="324"/>
      <c r="R209" s="321">
        <v>21.48</v>
      </c>
      <c r="S209" s="279" t="s">
        <v>117</v>
      </c>
      <c r="T209" s="279"/>
      <c r="U209" s="282"/>
      <c r="V209" s="5"/>
    </row>
    <row r="210" spans="1:22" x14ac:dyDescent="0.35">
      <c r="A210" s="346"/>
      <c r="B210" s="279" t="s">
        <v>78</v>
      </c>
      <c r="C210" s="347"/>
      <c r="D210" s="347"/>
      <c r="E210" s="347"/>
      <c r="F210" s="347"/>
      <c r="G210" s="324"/>
      <c r="H210" s="324"/>
      <c r="I210" s="324"/>
      <c r="J210" s="324"/>
      <c r="K210" s="324"/>
      <c r="L210" s="324"/>
      <c r="M210" s="324"/>
      <c r="N210" s="324"/>
      <c r="O210" s="324"/>
      <c r="P210" s="324"/>
      <c r="Q210" s="324"/>
      <c r="R210" s="321">
        <v>10.44</v>
      </c>
      <c r="S210" s="279" t="s">
        <v>117</v>
      </c>
      <c r="T210" s="279"/>
      <c r="U210" s="282"/>
      <c r="V210" s="5"/>
    </row>
    <row r="211" spans="1:22" x14ac:dyDescent="0.35">
      <c r="A211" s="346"/>
      <c r="B211" s="279" t="s">
        <v>79</v>
      </c>
      <c r="C211" s="347"/>
      <c r="D211" s="347"/>
      <c r="E211" s="347"/>
      <c r="F211" s="347"/>
      <c r="G211" s="324"/>
      <c r="H211" s="324"/>
      <c r="I211" s="324"/>
      <c r="J211" s="324"/>
      <c r="K211" s="324"/>
      <c r="L211" s="324"/>
      <c r="M211" s="324"/>
      <c r="N211" s="324"/>
      <c r="O211" s="324"/>
      <c r="P211" s="324"/>
      <c r="Q211" s="324"/>
      <c r="R211" s="315">
        <f>+N67/L67</f>
        <v>1.2283766270355554E-2</v>
      </c>
      <c r="S211" s="279"/>
      <c r="T211" s="279"/>
      <c r="U211" s="282"/>
      <c r="V211" s="5"/>
    </row>
    <row r="212" spans="1:22" x14ac:dyDescent="0.35">
      <c r="A212" s="346"/>
      <c r="B212" s="279" t="s">
        <v>80</v>
      </c>
      <c r="C212" s="347"/>
      <c r="D212" s="347"/>
      <c r="E212" s="347"/>
      <c r="F212" s="347"/>
      <c r="G212" s="324"/>
      <c r="H212" s="324"/>
      <c r="I212" s="324"/>
      <c r="J212" s="324"/>
      <c r="K212" s="324"/>
      <c r="L212" s="324"/>
      <c r="M212" s="324"/>
      <c r="N212" s="324"/>
      <c r="O212" s="324"/>
      <c r="P212" s="324"/>
      <c r="Q212" s="324"/>
      <c r="R212" s="315">
        <v>8.6099999999999996E-2</v>
      </c>
      <c r="S212" s="279"/>
      <c r="T212" s="279"/>
      <c r="U212" s="282"/>
      <c r="V212" s="5"/>
    </row>
    <row r="213" spans="1:22" x14ac:dyDescent="0.35">
      <c r="A213" s="208"/>
      <c r="B213" s="258"/>
      <c r="C213" s="258"/>
      <c r="D213" s="258"/>
      <c r="E213" s="258"/>
      <c r="F213" s="258"/>
      <c r="G213" s="258"/>
      <c r="H213" s="258"/>
      <c r="I213" s="258"/>
      <c r="J213" s="258"/>
      <c r="K213" s="258"/>
      <c r="L213" s="258"/>
      <c r="M213" s="258"/>
      <c r="N213" s="258"/>
      <c r="O213" s="258"/>
      <c r="P213" s="258"/>
      <c r="Q213" s="258"/>
      <c r="R213" s="344"/>
      <c r="S213" s="258"/>
      <c r="T213" s="345"/>
      <c r="U213" s="258"/>
      <c r="V213" s="5"/>
    </row>
    <row r="214" spans="1:22" x14ac:dyDescent="0.35">
      <c r="A214" s="270"/>
      <c r="B214" s="385" t="s">
        <v>81</v>
      </c>
      <c r="C214" s="386"/>
      <c r="D214" s="386"/>
      <c r="E214" s="386"/>
      <c r="F214" s="392"/>
      <c r="G214" s="386"/>
      <c r="H214" s="386"/>
      <c r="I214" s="386"/>
      <c r="J214" s="386"/>
      <c r="K214" s="386"/>
      <c r="L214" s="386"/>
      <c r="M214" s="386"/>
      <c r="N214" s="386"/>
      <c r="O214" s="386"/>
      <c r="P214" s="386"/>
      <c r="Q214" s="386" t="s">
        <v>106</v>
      </c>
      <c r="R214" s="392" t="s">
        <v>113</v>
      </c>
      <c r="S214" s="253"/>
      <c r="T214" s="253"/>
      <c r="U214" s="253"/>
      <c r="V214" s="5"/>
    </row>
    <row r="215" spans="1:22" x14ac:dyDescent="0.35">
      <c r="A215" s="212"/>
      <c r="B215" s="224" t="s">
        <v>82</v>
      </c>
      <c r="C215" s="227"/>
      <c r="D215" s="227"/>
      <c r="E215" s="227"/>
      <c r="F215" s="224"/>
      <c r="G215" s="224"/>
      <c r="H215" s="226"/>
      <c r="I215" s="226"/>
      <c r="J215" s="226"/>
      <c r="K215" s="226"/>
      <c r="L215" s="226"/>
      <c r="M215" s="226"/>
      <c r="N215" s="226"/>
      <c r="O215" s="226"/>
      <c r="P215" s="226"/>
      <c r="Q215" s="226">
        <v>0</v>
      </c>
      <c r="R215" s="241">
        <v>0</v>
      </c>
      <c r="S215" s="224"/>
      <c r="T215" s="240"/>
      <c r="U215" s="242"/>
      <c r="V215" s="5"/>
    </row>
    <row r="216" spans="1:22" x14ac:dyDescent="0.35">
      <c r="A216" s="356"/>
      <c r="B216" s="279" t="s">
        <v>152</v>
      </c>
      <c r="C216" s="332"/>
      <c r="D216" s="332"/>
      <c r="E216" s="332"/>
      <c r="F216" s="279"/>
      <c r="G216" s="279"/>
      <c r="H216" s="287"/>
      <c r="I216" s="287"/>
      <c r="J216" s="287"/>
      <c r="K216" s="287"/>
      <c r="L216" s="287"/>
      <c r="M216" s="287"/>
      <c r="N216" s="287"/>
      <c r="O216" s="287"/>
      <c r="P216" s="287"/>
      <c r="Q216" s="357">
        <f>+P268</f>
        <v>62</v>
      </c>
      <c r="R216" s="358">
        <f>+R268</f>
        <v>10794</v>
      </c>
      <c r="S216" s="279"/>
      <c r="T216" s="359"/>
      <c r="U216" s="360"/>
      <c r="V216" s="5"/>
    </row>
    <row r="217" spans="1:22" x14ac:dyDescent="0.35">
      <c r="A217" s="356"/>
      <c r="B217" s="279" t="s">
        <v>83</v>
      </c>
      <c r="C217" s="332"/>
      <c r="D217" s="332"/>
      <c r="E217" s="332"/>
      <c r="F217" s="279"/>
      <c r="G217" s="279"/>
      <c r="H217" s="287"/>
      <c r="I217" s="287"/>
      <c r="J217" s="287"/>
      <c r="K217" s="287"/>
      <c r="L217" s="287"/>
      <c r="M217" s="287"/>
      <c r="N217" s="287"/>
      <c r="O217" s="287"/>
      <c r="P217" s="287"/>
      <c r="Q217" s="287">
        <v>0</v>
      </c>
      <c r="R217" s="358">
        <v>0</v>
      </c>
      <c r="S217" s="279"/>
      <c r="T217" s="359"/>
      <c r="U217" s="360"/>
      <c r="V217" s="5"/>
    </row>
    <row r="218" spans="1:22" x14ac:dyDescent="0.35">
      <c r="A218" s="356"/>
      <c r="B218" s="306" t="s">
        <v>84</v>
      </c>
      <c r="C218" s="361"/>
      <c r="D218" s="361"/>
      <c r="E218" s="361"/>
      <c r="F218" s="307"/>
      <c r="G218" s="307"/>
      <c r="H218" s="307"/>
      <c r="I218" s="307"/>
      <c r="J218" s="307"/>
      <c r="K218" s="307"/>
      <c r="L218" s="307"/>
      <c r="M218" s="307"/>
      <c r="N218" s="307"/>
      <c r="O218" s="307"/>
      <c r="P218" s="307"/>
      <c r="Q218" s="279"/>
      <c r="R218" s="358">
        <v>0</v>
      </c>
      <c r="S218" s="307"/>
      <c r="T218" s="362"/>
      <c r="U218" s="363"/>
      <c r="V218" s="5"/>
    </row>
    <row r="219" spans="1:22" x14ac:dyDescent="0.35">
      <c r="A219" s="356"/>
      <c r="B219" s="306" t="s">
        <v>85</v>
      </c>
      <c r="C219" s="361"/>
      <c r="D219" s="361"/>
      <c r="E219" s="361"/>
      <c r="F219" s="307"/>
      <c r="G219" s="307"/>
      <c r="H219" s="307"/>
      <c r="I219" s="307"/>
      <c r="J219" s="307"/>
      <c r="K219" s="307"/>
      <c r="L219" s="307"/>
      <c r="M219" s="307"/>
      <c r="N219" s="307"/>
      <c r="O219" s="307"/>
      <c r="P219" s="307"/>
      <c r="Q219" s="279"/>
      <c r="R219" s="364" t="s">
        <v>114</v>
      </c>
      <c r="S219" s="307"/>
      <c r="T219" s="362"/>
      <c r="U219" s="363"/>
      <c r="V219" s="5"/>
    </row>
    <row r="220" spans="1:22" x14ac:dyDescent="0.35">
      <c r="A220" s="365"/>
      <c r="B220" s="306" t="s">
        <v>86</v>
      </c>
      <c r="C220" s="366"/>
      <c r="D220" s="366"/>
      <c r="E220" s="366"/>
      <c r="F220" s="366"/>
      <c r="G220" s="307"/>
      <c r="H220" s="307"/>
      <c r="I220" s="307"/>
      <c r="J220" s="307"/>
      <c r="K220" s="307"/>
      <c r="L220" s="307"/>
      <c r="M220" s="307"/>
      <c r="N220" s="307"/>
      <c r="O220" s="307"/>
      <c r="P220" s="307"/>
      <c r="Q220" s="279"/>
      <c r="R220" s="358"/>
      <c r="S220" s="307"/>
      <c r="T220" s="362"/>
      <c r="U220" s="367"/>
      <c r="V220" s="5"/>
    </row>
    <row r="221" spans="1:22" x14ac:dyDescent="0.35">
      <c r="A221" s="365"/>
      <c r="B221" s="279" t="s">
        <v>87</v>
      </c>
      <c r="C221" s="366"/>
      <c r="D221" s="366"/>
      <c r="E221" s="366"/>
      <c r="F221" s="366"/>
      <c r="G221" s="307"/>
      <c r="H221" s="307"/>
      <c r="I221" s="307"/>
      <c r="J221" s="307"/>
      <c r="K221" s="307"/>
      <c r="L221" s="307"/>
      <c r="M221" s="307"/>
      <c r="N221" s="307"/>
      <c r="O221" s="307"/>
      <c r="P221" s="307"/>
      <c r="Q221" s="287"/>
      <c r="R221" s="358">
        <f>+T165</f>
        <v>-17</v>
      </c>
      <c r="S221" s="307"/>
      <c r="T221" s="362"/>
      <c r="U221" s="367"/>
      <c r="V221" s="5"/>
    </row>
    <row r="222" spans="1:22" x14ac:dyDescent="0.35">
      <c r="A222" s="356"/>
      <c r="B222" s="279" t="s">
        <v>88</v>
      </c>
      <c r="C222" s="361"/>
      <c r="D222" s="361"/>
      <c r="E222" s="361"/>
      <c r="F222" s="361"/>
      <c r="G222" s="307"/>
      <c r="H222" s="307"/>
      <c r="I222" s="307"/>
      <c r="J222" s="307"/>
      <c r="K222" s="307"/>
      <c r="L222" s="307"/>
      <c r="M222" s="307"/>
      <c r="N222" s="307"/>
      <c r="O222" s="307"/>
      <c r="P222" s="307"/>
      <c r="Q222" s="358"/>
      <c r="R222" s="358">
        <f>'May 17'!R222+R221</f>
        <v>7066</v>
      </c>
      <c r="S222" s="307"/>
      <c r="T222" s="362"/>
      <c r="U222" s="367"/>
      <c r="V222" s="5"/>
    </row>
    <row r="223" spans="1:22" x14ac:dyDescent="0.35">
      <c r="A223" s="365"/>
      <c r="B223" s="306" t="s">
        <v>295</v>
      </c>
      <c r="C223" s="366"/>
      <c r="D223" s="366"/>
      <c r="E223" s="366"/>
      <c r="F223" s="366"/>
      <c r="G223" s="307"/>
      <c r="H223" s="307"/>
      <c r="I223" s="307"/>
      <c r="J223" s="307"/>
      <c r="K223" s="307"/>
      <c r="L223" s="307"/>
      <c r="M223" s="307"/>
      <c r="N223" s="307"/>
      <c r="O223" s="307"/>
      <c r="P223" s="307"/>
      <c r="Q223" s="287"/>
      <c r="R223" s="358"/>
      <c r="S223" s="307"/>
      <c r="T223" s="362"/>
      <c r="U223" s="367"/>
      <c r="V223" s="5"/>
    </row>
    <row r="224" spans="1:22" x14ac:dyDescent="0.35">
      <c r="A224" s="365"/>
      <c r="B224" s="279" t="s">
        <v>292</v>
      </c>
      <c r="C224" s="366"/>
      <c r="D224" s="366"/>
      <c r="E224" s="366"/>
      <c r="F224" s="366"/>
      <c r="G224" s="307"/>
      <c r="H224" s="307"/>
      <c r="I224" s="307"/>
      <c r="J224" s="307"/>
      <c r="K224" s="307"/>
      <c r="L224" s="307"/>
      <c r="M224" s="307"/>
      <c r="N224" s="307"/>
      <c r="O224" s="307"/>
      <c r="P224" s="307"/>
      <c r="Q224" s="287">
        <v>0</v>
      </c>
      <c r="R224" s="358">
        <v>0</v>
      </c>
      <c r="S224" s="307"/>
      <c r="T224" s="362"/>
      <c r="U224" s="367"/>
      <c r="V224" s="5"/>
    </row>
    <row r="225" spans="1:23" x14ac:dyDescent="0.35">
      <c r="A225" s="356"/>
      <c r="B225" s="279" t="s">
        <v>90</v>
      </c>
      <c r="C225" s="368"/>
      <c r="D225" s="368"/>
      <c r="E225" s="368"/>
      <c r="F225" s="369"/>
      <c r="G225" s="307"/>
      <c r="H225" s="307"/>
      <c r="I225" s="307"/>
      <c r="J225" s="307"/>
      <c r="K225" s="307"/>
      <c r="L225" s="307"/>
      <c r="M225" s="307"/>
      <c r="N225" s="307"/>
      <c r="O225" s="307"/>
      <c r="P225" s="307"/>
      <c r="Q225" s="279"/>
      <c r="R225" s="364">
        <v>0</v>
      </c>
      <c r="S225" s="307"/>
      <c r="T225" s="362"/>
      <c r="U225" s="367"/>
      <c r="V225" s="5"/>
    </row>
    <row r="226" spans="1:23" x14ac:dyDescent="0.35">
      <c r="A226" s="356"/>
      <c r="B226" s="279" t="s">
        <v>91</v>
      </c>
      <c r="C226" s="368"/>
      <c r="D226" s="368"/>
      <c r="E226" s="368"/>
      <c r="F226" s="369"/>
      <c r="G226" s="307"/>
      <c r="H226" s="307"/>
      <c r="I226" s="307"/>
      <c r="J226" s="307"/>
      <c r="K226" s="307"/>
      <c r="L226" s="307"/>
      <c r="M226" s="307"/>
      <c r="N226" s="307"/>
      <c r="O226" s="307"/>
      <c r="P226" s="307"/>
      <c r="Q226" s="279"/>
      <c r="R226" s="364">
        <v>0</v>
      </c>
      <c r="S226" s="307"/>
      <c r="T226" s="362"/>
      <c r="U226" s="367"/>
      <c r="V226" s="5"/>
    </row>
    <row r="227" spans="1:23" x14ac:dyDescent="0.35">
      <c r="A227" s="356"/>
      <c r="B227" s="306" t="s">
        <v>260</v>
      </c>
      <c r="C227" s="368"/>
      <c r="D227" s="368"/>
      <c r="E227" s="368"/>
      <c r="F227" s="369"/>
      <c r="G227" s="307"/>
      <c r="H227" s="307"/>
      <c r="I227" s="307"/>
      <c r="J227" s="307"/>
      <c r="K227" s="307"/>
      <c r="L227" s="307"/>
      <c r="M227" s="307"/>
      <c r="N227" s="307"/>
      <c r="O227" s="307"/>
      <c r="P227" s="307"/>
      <c r="Q227" s="279"/>
      <c r="R227" s="370"/>
      <c r="S227" s="307"/>
      <c r="T227" s="362"/>
      <c r="U227" s="367"/>
      <c r="V227" s="5"/>
    </row>
    <row r="228" spans="1:23" x14ac:dyDescent="0.35">
      <c r="A228" s="356"/>
      <c r="B228" s="279" t="s">
        <v>292</v>
      </c>
      <c r="C228" s="368"/>
      <c r="D228" s="368"/>
      <c r="E228" s="368"/>
      <c r="F228" s="369"/>
      <c r="G228" s="307"/>
      <c r="H228" s="307"/>
      <c r="I228" s="307"/>
      <c r="J228" s="307"/>
      <c r="K228" s="307"/>
      <c r="L228" s="307"/>
      <c r="M228" s="307"/>
      <c r="N228" s="307"/>
      <c r="O228" s="307"/>
      <c r="P228" s="307"/>
      <c r="Q228" s="287">
        <v>4</v>
      </c>
      <c r="R228" s="358">
        <v>418</v>
      </c>
      <c r="S228" s="307"/>
      <c r="T228" s="362"/>
      <c r="U228" s="367"/>
      <c r="V228" s="5"/>
    </row>
    <row r="229" spans="1:23" x14ac:dyDescent="0.35">
      <c r="A229" s="356"/>
      <c r="B229" s="279" t="s">
        <v>261</v>
      </c>
      <c r="C229" s="368"/>
      <c r="D229" s="368"/>
      <c r="E229" s="368"/>
      <c r="F229" s="369"/>
      <c r="G229" s="307"/>
      <c r="H229" s="307"/>
      <c r="I229" s="307"/>
      <c r="J229" s="307"/>
      <c r="K229" s="307"/>
      <c r="L229" s="307"/>
      <c r="M229" s="307"/>
      <c r="N229" s="307"/>
      <c r="O229" s="307"/>
      <c r="P229" s="307"/>
      <c r="Q229" s="279"/>
      <c r="R229" s="364">
        <v>2.5499999999999998</v>
      </c>
      <c r="S229" s="307"/>
      <c r="T229" s="362"/>
      <c r="U229" s="367"/>
      <c r="V229" s="5"/>
    </row>
    <row r="230" spans="1:23" x14ac:dyDescent="0.35">
      <c r="A230" s="356"/>
      <c r="B230" s="366"/>
      <c r="C230" s="368"/>
      <c r="D230" s="368"/>
      <c r="E230" s="368"/>
      <c r="F230" s="369"/>
      <c r="G230" s="307"/>
      <c r="H230" s="307"/>
      <c r="I230" s="307"/>
      <c r="J230" s="307"/>
      <c r="K230" s="307"/>
      <c r="L230" s="307"/>
      <c r="M230" s="307"/>
      <c r="N230" s="307"/>
      <c r="O230" s="307"/>
      <c r="P230" s="307"/>
      <c r="Q230" s="279"/>
      <c r="R230" s="370"/>
      <c r="S230" s="307"/>
      <c r="T230" s="362"/>
      <c r="U230" s="367"/>
      <c r="V230" s="5"/>
    </row>
    <row r="231" spans="1:23" x14ac:dyDescent="0.35">
      <c r="A231" s="356"/>
      <c r="B231" s="366"/>
      <c r="C231" s="368"/>
      <c r="D231" s="368"/>
      <c r="E231" s="368"/>
      <c r="F231" s="369"/>
      <c r="G231" s="307"/>
      <c r="H231" s="307"/>
      <c r="I231" s="307"/>
      <c r="J231" s="307"/>
      <c r="K231" s="307"/>
      <c r="L231" s="307"/>
      <c r="M231" s="307"/>
      <c r="N231" s="307"/>
      <c r="O231" s="307"/>
      <c r="P231" s="307"/>
      <c r="Q231" s="307"/>
      <c r="R231" s="371"/>
      <c r="S231" s="307"/>
      <c r="T231" s="362"/>
      <c r="U231" s="367"/>
      <c r="V231" s="5"/>
    </row>
    <row r="232" spans="1:23" ht="17.5" x14ac:dyDescent="0.35">
      <c r="A232" s="356"/>
      <c r="B232" s="372" t="s">
        <v>178</v>
      </c>
      <c r="C232" s="368"/>
      <c r="D232" s="368"/>
      <c r="E232" s="368"/>
      <c r="F232" s="369"/>
      <c r="G232" s="307"/>
      <c r="H232" s="307"/>
      <c r="I232" s="307"/>
      <c r="J232" s="307"/>
      <c r="K232" s="307"/>
      <c r="L232" s="307"/>
      <c r="M232" s="307"/>
      <c r="N232" s="373" t="s">
        <v>177</v>
      </c>
      <c r="O232" s="307"/>
      <c r="P232" s="307"/>
      <c r="Q232" s="307"/>
      <c r="R232" s="371"/>
      <c r="S232" s="307"/>
      <c r="T232" s="362"/>
      <c r="U232" s="367"/>
      <c r="V232" s="5"/>
    </row>
    <row r="233" spans="1:23" x14ac:dyDescent="0.35">
      <c r="A233" s="349"/>
      <c r="B233" s="350"/>
      <c r="C233" s="351"/>
      <c r="D233" s="351"/>
      <c r="E233" s="351"/>
      <c r="F233" s="352"/>
      <c r="G233" s="329"/>
      <c r="H233" s="329"/>
      <c r="I233" s="329"/>
      <c r="J233" s="329"/>
      <c r="K233" s="329"/>
      <c r="L233" s="329"/>
      <c r="M233" s="329"/>
      <c r="N233" s="329"/>
      <c r="O233" s="329"/>
      <c r="P233" s="329"/>
      <c r="Q233" s="329"/>
      <c r="R233" s="353"/>
      <c r="S233" s="329"/>
      <c r="T233" s="354"/>
      <c r="U233" s="355"/>
      <c r="V233" s="5"/>
    </row>
    <row r="234" spans="1:23" x14ac:dyDescent="0.35">
      <c r="A234" s="252"/>
      <c r="B234" s="385" t="s">
        <v>307</v>
      </c>
      <c r="C234" s="386"/>
      <c r="D234" s="386"/>
      <c r="E234" s="386"/>
      <c r="F234" s="392"/>
      <c r="G234" s="386"/>
      <c r="H234" s="386"/>
      <c r="I234" s="386"/>
      <c r="J234" s="386"/>
      <c r="K234" s="386"/>
      <c r="L234" s="386"/>
      <c r="M234" s="386"/>
      <c r="N234" s="386"/>
      <c r="O234" s="386"/>
      <c r="P234" s="392" t="s">
        <v>106</v>
      </c>
      <c r="Q234" s="386" t="s">
        <v>107</v>
      </c>
      <c r="R234" s="392" t="s">
        <v>115</v>
      </c>
      <c r="S234" s="386" t="s">
        <v>107</v>
      </c>
      <c r="T234" s="253"/>
      <c r="U234" s="385"/>
      <c r="V234" s="5"/>
    </row>
    <row r="235" spans="1:23" x14ac:dyDescent="0.35">
      <c r="A235" s="190"/>
      <c r="B235" s="227" t="s">
        <v>92</v>
      </c>
      <c r="C235" s="243"/>
      <c r="D235" s="243"/>
      <c r="E235" s="243"/>
      <c r="F235" s="224"/>
      <c r="G235" s="243"/>
      <c r="H235" s="243"/>
      <c r="I235" s="243"/>
      <c r="J235" s="243"/>
      <c r="K235" s="243"/>
      <c r="L235" s="243"/>
      <c r="M235" s="243"/>
      <c r="N235" s="243"/>
      <c r="O235" s="243"/>
      <c r="P235" s="227">
        <f t="shared" ref="P235:P242" si="1">+P247+P259+P271</f>
        <v>2743</v>
      </c>
      <c r="Q235" s="378">
        <f t="shared" ref="Q235:Q242" si="2">P235/$P$244</f>
        <v>0.99709196655761545</v>
      </c>
      <c r="R235" s="237">
        <f t="shared" ref="R235:R242" si="3">+R247+R259+R271</f>
        <v>367495</v>
      </c>
      <c r="S235" s="378">
        <f t="shared" ref="S235:S242" si="4">R235/$R$244</f>
        <v>0.99825066075585578</v>
      </c>
      <c r="T235" s="240"/>
      <c r="U235" s="225"/>
      <c r="V235" s="5"/>
    </row>
    <row r="236" spans="1:23" x14ac:dyDescent="0.35">
      <c r="A236" s="305"/>
      <c r="B236" s="332" t="s">
        <v>93</v>
      </c>
      <c r="C236" s="377"/>
      <c r="D236" s="377"/>
      <c r="E236" s="377"/>
      <c r="F236" s="279"/>
      <c r="G236" s="378"/>
      <c r="H236" s="377"/>
      <c r="I236" s="377"/>
      <c r="J236" s="377"/>
      <c r="K236" s="377"/>
      <c r="L236" s="377"/>
      <c r="M236" s="377"/>
      <c r="N236" s="377"/>
      <c r="O236" s="377"/>
      <c r="P236" s="332">
        <f t="shared" si="1"/>
        <v>2</v>
      </c>
      <c r="Q236" s="378">
        <f t="shared" si="2"/>
        <v>7.2700836059614682E-4</v>
      </c>
      <c r="R236" s="333">
        <f t="shared" si="3"/>
        <v>187</v>
      </c>
      <c r="S236" s="378">
        <f t="shared" si="4"/>
        <v>5.0796030847044191E-4</v>
      </c>
      <c r="T236" s="359"/>
      <c r="U236" s="379"/>
      <c r="V236" s="5"/>
      <c r="W236" s="109"/>
    </row>
    <row r="237" spans="1:23" x14ac:dyDescent="0.35">
      <c r="A237" s="305"/>
      <c r="B237" s="332" t="s">
        <v>94</v>
      </c>
      <c r="C237" s="377"/>
      <c r="D237" s="377"/>
      <c r="E237" s="377"/>
      <c r="F237" s="279"/>
      <c r="G237" s="378"/>
      <c r="H237" s="377"/>
      <c r="I237" s="377"/>
      <c r="J237" s="377"/>
      <c r="K237" s="377"/>
      <c r="L237" s="377"/>
      <c r="M237" s="377"/>
      <c r="N237" s="377"/>
      <c r="O237" s="377"/>
      <c r="P237" s="332">
        <f t="shared" si="1"/>
        <v>5</v>
      </c>
      <c r="Q237" s="378">
        <f t="shared" si="2"/>
        <v>1.8175209014903672E-3</v>
      </c>
      <c r="R237" s="333">
        <f t="shared" si="3"/>
        <v>321</v>
      </c>
      <c r="S237" s="378">
        <f t="shared" si="4"/>
        <v>8.7195325678615957E-4</v>
      </c>
      <c r="T237" s="359"/>
      <c r="U237" s="379"/>
      <c r="V237" s="5"/>
    </row>
    <row r="238" spans="1:23" x14ac:dyDescent="0.35">
      <c r="A238" s="305"/>
      <c r="B238" s="332" t="s">
        <v>164</v>
      </c>
      <c r="C238" s="377"/>
      <c r="D238" s="377"/>
      <c r="E238" s="377"/>
      <c r="F238" s="279"/>
      <c r="G238" s="378"/>
      <c r="H238" s="377"/>
      <c r="I238" s="377"/>
      <c r="J238" s="377"/>
      <c r="K238" s="377"/>
      <c r="L238" s="377"/>
      <c r="M238" s="377"/>
      <c r="N238" s="377"/>
      <c r="O238" s="377"/>
      <c r="P238" s="332">
        <f t="shared" si="1"/>
        <v>0</v>
      </c>
      <c r="Q238" s="378">
        <f t="shared" si="2"/>
        <v>0</v>
      </c>
      <c r="R238" s="333">
        <f t="shared" si="3"/>
        <v>0</v>
      </c>
      <c r="S238" s="378">
        <f t="shared" si="4"/>
        <v>0</v>
      </c>
      <c r="T238" s="359"/>
      <c r="U238" s="379"/>
      <c r="V238" s="5"/>
      <c r="W238" s="109"/>
    </row>
    <row r="239" spans="1:23" x14ac:dyDescent="0.35">
      <c r="A239" s="305"/>
      <c r="B239" s="332" t="s">
        <v>165</v>
      </c>
      <c r="C239" s="377"/>
      <c r="D239" s="377"/>
      <c r="E239" s="377"/>
      <c r="F239" s="279"/>
      <c r="G239" s="378"/>
      <c r="H239" s="377"/>
      <c r="I239" s="377"/>
      <c r="J239" s="377"/>
      <c r="K239" s="377"/>
      <c r="L239" s="377"/>
      <c r="M239" s="377"/>
      <c r="N239" s="377"/>
      <c r="O239" s="377"/>
      <c r="P239" s="332">
        <f t="shared" si="1"/>
        <v>1</v>
      </c>
      <c r="Q239" s="378">
        <f t="shared" si="2"/>
        <v>3.6350418029807341E-4</v>
      </c>
      <c r="R239" s="333">
        <f t="shared" si="3"/>
        <v>136</v>
      </c>
      <c r="S239" s="378">
        <f t="shared" si="4"/>
        <v>3.6942567888759408E-4</v>
      </c>
      <c r="T239" s="359"/>
      <c r="U239" s="379"/>
      <c r="V239" s="5"/>
    </row>
    <row r="240" spans="1:23" x14ac:dyDescent="0.35">
      <c r="A240" s="305"/>
      <c r="B240" s="332" t="s">
        <v>166</v>
      </c>
      <c r="C240" s="377"/>
      <c r="D240" s="377"/>
      <c r="E240" s="377"/>
      <c r="F240" s="279"/>
      <c r="G240" s="378"/>
      <c r="H240" s="377"/>
      <c r="I240" s="377"/>
      <c r="J240" s="377"/>
      <c r="K240" s="377"/>
      <c r="L240" s="377"/>
      <c r="M240" s="377"/>
      <c r="N240" s="377"/>
      <c r="O240" s="377"/>
      <c r="P240" s="332">
        <f t="shared" si="1"/>
        <v>0</v>
      </c>
      <c r="Q240" s="378">
        <f t="shared" si="2"/>
        <v>0</v>
      </c>
      <c r="R240" s="333">
        <f t="shared" si="3"/>
        <v>0</v>
      </c>
      <c r="S240" s="378">
        <f t="shared" si="4"/>
        <v>0</v>
      </c>
      <c r="T240" s="359"/>
      <c r="U240" s="379"/>
      <c r="V240" s="5"/>
      <c r="W240" s="109"/>
    </row>
    <row r="241" spans="1:23" x14ac:dyDescent="0.35">
      <c r="A241" s="305"/>
      <c r="B241" s="332" t="s">
        <v>167</v>
      </c>
      <c r="C241" s="377"/>
      <c r="D241" s="377"/>
      <c r="E241" s="377"/>
      <c r="F241" s="279"/>
      <c r="G241" s="378"/>
      <c r="H241" s="377"/>
      <c r="I241" s="377"/>
      <c r="J241" s="377"/>
      <c r="K241" s="377"/>
      <c r="L241" s="377"/>
      <c r="M241" s="377"/>
      <c r="N241" s="377"/>
      <c r="O241" s="377"/>
      <c r="P241" s="332">
        <f t="shared" si="1"/>
        <v>0</v>
      </c>
      <c r="Q241" s="378">
        <f t="shared" si="2"/>
        <v>0</v>
      </c>
      <c r="R241" s="333">
        <f t="shared" si="3"/>
        <v>0</v>
      </c>
      <c r="S241" s="378">
        <f t="shared" si="4"/>
        <v>0</v>
      </c>
      <c r="T241" s="359"/>
      <c r="U241" s="379"/>
      <c r="V241" s="5"/>
    </row>
    <row r="242" spans="1:23" x14ac:dyDescent="0.35">
      <c r="A242" s="305"/>
      <c r="B242" s="332" t="s">
        <v>168</v>
      </c>
      <c r="C242" s="377"/>
      <c r="D242" s="377"/>
      <c r="E242" s="377"/>
      <c r="F242" s="279"/>
      <c r="G242" s="378"/>
      <c r="H242" s="377"/>
      <c r="I242" s="377"/>
      <c r="J242" s="377"/>
      <c r="K242" s="377"/>
      <c r="L242" s="377"/>
      <c r="M242" s="377"/>
      <c r="N242" s="377"/>
      <c r="O242" s="377"/>
      <c r="P242" s="332">
        <f t="shared" si="1"/>
        <v>0</v>
      </c>
      <c r="Q242" s="378">
        <f t="shared" si="2"/>
        <v>0</v>
      </c>
      <c r="R242" s="333">
        <f t="shared" si="3"/>
        <v>0</v>
      </c>
      <c r="S242" s="383">
        <f t="shared" si="4"/>
        <v>0</v>
      </c>
      <c r="T242" s="359"/>
      <c r="U242" s="379"/>
      <c r="V242" s="5"/>
      <c r="W242" s="109"/>
    </row>
    <row r="243" spans="1:23" x14ac:dyDescent="0.35">
      <c r="A243" s="305"/>
      <c r="B243" s="332"/>
      <c r="C243" s="377"/>
      <c r="D243" s="377"/>
      <c r="E243" s="377"/>
      <c r="F243" s="279"/>
      <c r="G243" s="378"/>
      <c r="H243" s="377"/>
      <c r="I243" s="377"/>
      <c r="J243" s="377"/>
      <c r="K243" s="377"/>
      <c r="L243" s="377"/>
      <c r="M243" s="377"/>
      <c r="N243" s="377"/>
      <c r="O243" s="377"/>
      <c r="P243" s="332"/>
      <c r="Q243" s="378"/>
      <c r="R243" s="333"/>
      <c r="S243" s="378"/>
      <c r="T243" s="359"/>
      <c r="U243" s="379"/>
      <c r="V243" s="5"/>
    </row>
    <row r="244" spans="1:23" x14ac:dyDescent="0.35">
      <c r="A244" s="305"/>
      <c r="B244" s="279"/>
      <c r="C244" s="279"/>
      <c r="D244" s="279"/>
      <c r="E244" s="279"/>
      <c r="F244" s="279"/>
      <c r="G244" s="279"/>
      <c r="H244" s="380"/>
      <c r="I244" s="380"/>
      <c r="J244" s="380"/>
      <c r="K244" s="380"/>
      <c r="L244" s="380"/>
      <c r="M244" s="380"/>
      <c r="N244" s="380"/>
      <c r="O244" s="380"/>
      <c r="P244" s="332">
        <f>SUM(P235:P243)</f>
        <v>2751</v>
      </c>
      <c r="Q244" s="378">
        <f>SUM(Q235:Q243)</f>
        <v>1</v>
      </c>
      <c r="R244" s="333">
        <f>SUM(R235:R243)</f>
        <v>368139</v>
      </c>
      <c r="S244" s="378">
        <f>SUM(S235:S243)</f>
        <v>1</v>
      </c>
      <c r="T244" s="279"/>
      <c r="U244" s="282"/>
      <c r="V244" s="5"/>
    </row>
    <row r="245" spans="1:23" x14ac:dyDescent="0.35">
      <c r="A245" s="174"/>
      <c r="B245" s="258"/>
      <c r="C245" s="258"/>
      <c r="D245" s="258"/>
      <c r="E245" s="258"/>
      <c r="F245" s="258"/>
      <c r="G245" s="258"/>
      <c r="H245" s="374"/>
      <c r="I245" s="374"/>
      <c r="J245" s="374"/>
      <c r="K245" s="374"/>
      <c r="L245" s="374"/>
      <c r="M245" s="374"/>
      <c r="N245" s="374"/>
      <c r="O245" s="374"/>
      <c r="P245" s="334"/>
      <c r="Q245" s="375"/>
      <c r="R245" s="376"/>
      <c r="S245" s="375"/>
      <c r="T245" s="258"/>
      <c r="U245" s="258"/>
      <c r="V245" s="5"/>
    </row>
    <row r="246" spans="1:23" x14ac:dyDescent="0.35">
      <c r="A246" s="252"/>
      <c r="B246" s="385" t="s">
        <v>171</v>
      </c>
      <c r="C246" s="386"/>
      <c r="D246" s="386"/>
      <c r="E246" s="386"/>
      <c r="F246" s="392"/>
      <c r="G246" s="386"/>
      <c r="H246" s="386"/>
      <c r="I246" s="386"/>
      <c r="J246" s="386"/>
      <c r="K246" s="386"/>
      <c r="L246" s="386"/>
      <c r="M246" s="386"/>
      <c r="N246" s="386"/>
      <c r="O246" s="386"/>
      <c r="P246" s="392" t="s">
        <v>106</v>
      </c>
      <c r="Q246" s="386" t="s">
        <v>107</v>
      </c>
      <c r="R246" s="392" t="s">
        <v>115</v>
      </c>
      <c r="S246" s="386" t="s">
        <v>107</v>
      </c>
      <c r="T246" s="253"/>
      <c r="U246" s="385"/>
      <c r="V246" s="5"/>
    </row>
    <row r="247" spans="1:23" x14ac:dyDescent="0.35">
      <c r="A247" s="190"/>
      <c r="B247" s="227" t="s">
        <v>92</v>
      </c>
      <c r="C247" s="243"/>
      <c r="D247" s="243"/>
      <c r="E247" s="243"/>
      <c r="F247" s="224"/>
      <c r="G247" s="243"/>
      <c r="H247" s="243"/>
      <c r="I247" s="243"/>
      <c r="J247" s="243"/>
      <c r="K247" s="243"/>
      <c r="L247" s="243"/>
      <c r="M247" s="243"/>
      <c r="N247" s="243"/>
      <c r="O247" s="243"/>
      <c r="P247" s="227">
        <v>2684</v>
      </c>
      <c r="Q247" s="244">
        <f t="shared" ref="Q247:Q254" si="5">P247/$P$256</f>
        <v>0.99814057270360734</v>
      </c>
      <c r="R247" s="237">
        <v>356994</v>
      </c>
      <c r="S247" s="244">
        <f t="shared" ref="S247:S254" si="6">R247/$R$256</f>
        <v>0.9990177559501322</v>
      </c>
      <c r="T247" s="240"/>
      <c r="U247" s="225"/>
      <c r="V247" s="5"/>
    </row>
    <row r="248" spans="1:23" x14ac:dyDescent="0.35">
      <c r="A248" s="305"/>
      <c r="B248" s="332" t="s">
        <v>93</v>
      </c>
      <c r="C248" s="377"/>
      <c r="D248" s="377"/>
      <c r="E248" s="377"/>
      <c r="F248" s="279"/>
      <c r="G248" s="378"/>
      <c r="H248" s="377"/>
      <c r="I248" s="377"/>
      <c r="J248" s="377"/>
      <c r="K248" s="377"/>
      <c r="L248" s="377"/>
      <c r="M248" s="377"/>
      <c r="N248" s="377"/>
      <c r="O248" s="377"/>
      <c r="P248" s="332">
        <v>1</v>
      </c>
      <c r="Q248" s="378">
        <f t="shared" si="5"/>
        <v>3.7188545927854219E-4</v>
      </c>
      <c r="R248" s="333">
        <v>91</v>
      </c>
      <c r="S248" s="378">
        <f t="shared" si="6"/>
        <v>2.5465586478053424E-4</v>
      </c>
      <c r="T248" s="359"/>
      <c r="U248" s="379"/>
      <c r="V248" s="5"/>
      <c r="W248" s="109"/>
    </row>
    <row r="249" spans="1:23" x14ac:dyDescent="0.35">
      <c r="A249" s="305"/>
      <c r="B249" s="332" t="s">
        <v>94</v>
      </c>
      <c r="C249" s="377"/>
      <c r="D249" s="377"/>
      <c r="E249" s="377"/>
      <c r="F249" s="279"/>
      <c r="G249" s="378"/>
      <c r="H249" s="377"/>
      <c r="I249" s="377"/>
      <c r="J249" s="377"/>
      <c r="K249" s="377"/>
      <c r="L249" s="377"/>
      <c r="M249" s="377"/>
      <c r="N249" s="377"/>
      <c r="O249" s="377"/>
      <c r="P249" s="332">
        <v>4</v>
      </c>
      <c r="Q249" s="378">
        <f t="shared" si="5"/>
        <v>1.4875418371141688E-3</v>
      </c>
      <c r="R249" s="333">
        <v>260</v>
      </c>
      <c r="S249" s="378">
        <f t="shared" si="6"/>
        <v>7.2758818508724061E-4</v>
      </c>
      <c r="T249" s="359"/>
      <c r="U249" s="379"/>
      <c r="V249" s="5"/>
    </row>
    <row r="250" spans="1:23" x14ac:dyDescent="0.35">
      <c r="A250" s="305"/>
      <c r="B250" s="332" t="s">
        <v>164</v>
      </c>
      <c r="C250" s="377"/>
      <c r="D250" s="377"/>
      <c r="E250" s="377"/>
      <c r="F250" s="279"/>
      <c r="G250" s="378"/>
      <c r="H250" s="377"/>
      <c r="I250" s="377"/>
      <c r="J250" s="377"/>
      <c r="K250" s="377"/>
      <c r="L250" s="377"/>
      <c r="M250" s="377"/>
      <c r="N250" s="377"/>
      <c r="O250" s="377"/>
      <c r="P250" s="332">
        <v>0</v>
      </c>
      <c r="Q250" s="378">
        <f t="shared" si="5"/>
        <v>0</v>
      </c>
      <c r="R250" s="333">
        <v>0</v>
      </c>
      <c r="S250" s="378">
        <f t="shared" si="6"/>
        <v>0</v>
      </c>
      <c r="T250" s="359"/>
      <c r="U250" s="379"/>
      <c r="V250" s="5"/>
      <c r="W250" s="109"/>
    </row>
    <row r="251" spans="1:23" x14ac:dyDescent="0.35">
      <c r="A251" s="305"/>
      <c r="B251" s="332" t="s">
        <v>165</v>
      </c>
      <c r="C251" s="377"/>
      <c r="D251" s="377"/>
      <c r="E251" s="377"/>
      <c r="F251" s="279"/>
      <c r="G251" s="378"/>
      <c r="H251" s="377"/>
      <c r="I251" s="377"/>
      <c r="J251" s="377"/>
      <c r="K251" s="377"/>
      <c r="L251" s="377"/>
      <c r="M251" s="377"/>
      <c r="N251" s="377"/>
      <c r="O251" s="377"/>
      <c r="P251" s="332">
        <v>0</v>
      </c>
      <c r="Q251" s="378">
        <f t="shared" si="5"/>
        <v>0</v>
      </c>
      <c r="R251" s="333">
        <v>0</v>
      </c>
      <c r="S251" s="378">
        <f t="shared" si="6"/>
        <v>0</v>
      </c>
      <c r="T251" s="359"/>
      <c r="U251" s="379"/>
      <c r="V251" s="5"/>
    </row>
    <row r="252" spans="1:23" x14ac:dyDescent="0.35">
      <c r="A252" s="305"/>
      <c r="B252" s="332" t="s">
        <v>166</v>
      </c>
      <c r="C252" s="377"/>
      <c r="D252" s="377"/>
      <c r="E252" s="377"/>
      <c r="F252" s="279"/>
      <c r="G252" s="378"/>
      <c r="H252" s="377"/>
      <c r="I252" s="377"/>
      <c r="J252" s="377"/>
      <c r="K252" s="377"/>
      <c r="L252" s="377"/>
      <c r="M252" s="377"/>
      <c r="N252" s="377"/>
      <c r="O252" s="377"/>
      <c r="P252" s="332">
        <v>0</v>
      </c>
      <c r="Q252" s="378">
        <f t="shared" si="5"/>
        <v>0</v>
      </c>
      <c r="R252" s="333">
        <v>0</v>
      </c>
      <c r="S252" s="378">
        <f t="shared" si="6"/>
        <v>0</v>
      </c>
      <c r="T252" s="359"/>
      <c r="U252" s="379"/>
      <c r="V252" s="5"/>
      <c r="W252" s="109"/>
    </row>
    <row r="253" spans="1:23" x14ac:dyDescent="0.35">
      <c r="A253" s="305"/>
      <c r="B253" s="332" t="s">
        <v>167</v>
      </c>
      <c r="C253" s="377"/>
      <c r="D253" s="377"/>
      <c r="E253" s="377"/>
      <c r="F253" s="279"/>
      <c r="G253" s="378"/>
      <c r="H253" s="377"/>
      <c r="I253" s="377"/>
      <c r="J253" s="377"/>
      <c r="K253" s="377"/>
      <c r="L253" s="377"/>
      <c r="M253" s="377"/>
      <c r="N253" s="377"/>
      <c r="O253" s="377"/>
      <c r="P253" s="332">
        <v>0</v>
      </c>
      <c r="Q253" s="378">
        <f t="shared" si="5"/>
        <v>0</v>
      </c>
      <c r="R253" s="333">
        <v>0</v>
      </c>
      <c r="S253" s="378">
        <f t="shared" si="6"/>
        <v>0</v>
      </c>
      <c r="T253" s="359"/>
      <c r="U253" s="379"/>
      <c r="V253" s="5"/>
    </row>
    <row r="254" spans="1:23" x14ac:dyDescent="0.35">
      <c r="A254" s="305"/>
      <c r="B254" s="332" t="s">
        <v>168</v>
      </c>
      <c r="C254" s="377"/>
      <c r="D254" s="377"/>
      <c r="E254" s="377"/>
      <c r="F254" s="279"/>
      <c r="G254" s="378"/>
      <c r="H254" s="377"/>
      <c r="I254" s="377"/>
      <c r="J254" s="377"/>
      <c r="K254" s="377"/>
      <c r="L254" s="377"/>
      <c r="M254" s="377"/>
      <c r="N254" s="377"/>
      <c r="O254" s="377"/>
      <c r="P254" s="332">
        <v>0</v>
      </c>
      <c r="Q254" s="378">
        <f t="shared" si="5"/>
        <v>0</v>
      </c>
      <c r="R254" s="333">
        <v>0</v>
      </c>
      <c r="S254" s="378">
        <f t="shared" si="6"/>
        <v>0</v>
      </c>
      <c r="T254" s="359"/>
      <c r="U254" s="379"/>
      <c r="V254" s="5"/>
      <c r="W254" s="109"/>
    </row>
    <row r="255" spans="1:23" x14ac:dyDescent="0.35">
      <c r="A255" s="305"/>
      <c r="B255" s="332"/>
      <c r="C255" s="377"/>
      <c r="D255" s="377"/>
      <c r="E255" s="377"/>
      <c r="F255" s="279"/>
      <c r="G255" s="378"/>
      <c r="H255" s="377"/>
      <c r="I255" s="377"/>
      <c r="J255" s="377"/>
      <c r="K255" s="377"/>
      <c r="L255" s="377"/>
      <c r="M255" s="377"/>
      <c r="N255" s="377"/>
      <c r="O255" s="377"/>
      <c r="P255" s="332"/>
      <c r="Q255" s="378"/>
      <c r="R255" s="333"/>
      <c r="S255" s="378"/>
      <c r="T255" s="359"/>
      <c r="U255" s="379"/>
      <c r="V255" s="5"/>
    </row>
    <row r="256" spans="1:23" x14ac:dyDescent="0.35">
      <c r="A256" s="305"/>
      <c r="B256" s="279"/>
      <c r="C256" s="279"/>
      <c r="D256" s="279"/>
      <c r="E256" s="279"/>
      <c r="F256" s="279"/>
      <c r="G256" s="279"/>
      <c r="H256" s="380"/>
      <c r="I256" s="380"/>
      <c r="J256" s="380"/>
      <c r="K256" s="380"/>
      <c r="L256" s="380"/>
      <c r="M256" s="380"/>
      <c r="N256" s="380"/>
      <c r="O256" s="380"/>
      <c r="P256" s="332">
        <f>SUM(P247:P255)</f>
        <v>2689</v>
      </c>
      <c r="Q256" s="378">
        <f>SUM(Q247:Q255)</f>
        <v>1</v>
      </c>
      <c r="R256" s="333">
        <f>SUM(R247:R255)</f>
        <v>357345</v>
      </c>
      <c r="S256" s="378">
        <f>SUM(S247:S255)</f>
        <v>1</v>
      </c>
      <c r="T256" s="279"/>
      <c r="U256" s="282"/>
      <c r="V256" s="5"/>
    </row>
    <row r="257" spans="1:22" x14ac:dyDescent="0.35">
      <c r="A257" s="174"/>
      <c r="B257" s="258"/>
      <c r="C257" s="258"/>
      <c r="D257" s="258"/>
      <c r="E257" s="258"/>
      <c r="F257" s="258"/>
      <c r="G257" s="258"/>
      <c r="H257" s="374"/>
      <c r="I257" s="374"/>
      <c r="J257" s="374"/>
      <c r="K257" s="374"/>
      <c r="L257" s="374"/>
      <c r="M257" s="374"/>
      <c r="N257" s="374"/>
      <c r="O257" s="374"/>
      <c r="P257" s="334"/>
      <c r="Q257" s="375"/>
      <c r="R257" s="376"/>
      <c r="S257" s="375"/>
      <c r="T257" s="258"/>
      <c r="U257" s="258"/>
      <c r="V257" s="5"/>
    </row>
    <row r="258" spans="1:22" x14ac:dyDescent="0.35">
      <c r="A258" s="272"/>
      <c r="B258" s="385" t="s">
        <v>275</v>
      </c>
      <c r="C258" s="386"/>
      <c r="D258" s="386"/>
      <c r="E258" s="386"/>
      <c r="F258" s="392"/>
      <c r="G258" s="386"/>
      <c r="H258" s="386"/>
      <c r="I258" s="386"/>
      <c r="J258" s="386"/>
      <c r="K258" s="386"/>
      <c r="L258" s="386"/>
      <c r="M258" s="386"/>
      <c r="N258" s="386"/>
      <c r="O258" s="386"/>
      <c r="P258" s="392" t="s">
        <v>106</v>
      </c>
      <c r="Q258" s="386" t="s">
        <v>107</v>
      </c>
      <c r="R258" s="392" t="s">
        <v>115</v>
      </c>
      <c r="S258" s="386" t="s">
        <v>107</v>
      </c>
      <c r="T258" s="273"/>
      <c r="U258" s="274"/>
      <c r="V258" s="5"/>
    </row>
    <row r="259" spans="1:22" x14ac:dyDescent="0.35">
      <c r="A259" s="190"/>
      <c r="B259" s="227" t="s">
        <v>92</v>
      </c>
      <c r="C259" s="243"/>
      <c r="D259" s="243"/>
      <c r="E259" s="243"/>
      <c r="F259" s="224"/>
      <c r="G259" s="243"/>
      <c r="H259" s="243"/>
      <c r="I259" s="243"/>
      <c r="J259" s="243"/>
      <c r="K259" s="243"/>
      <c r="L259" s="243"/>
      <c r="M259" s="243"/>
      <c r="N259" s="243"/>
      <c r="O259" s="243"/>
      <c r="P259" s="227">
        <v>59</v>
      </c>
      <c r="Q259" s="244">
        <f t="shared" ref="Q259:Q266" si="7">P259/$P$268</f>
        <v>0.95161290322580649</v>
      </c>
      <c r="R259" s="237">
        <v>10501</v>
      </c>
      <c r="S259" s="244">
        <f t="shared" ref="S259:S266" si="8">R259/$R$268</f>
        <v>0.97285528997591253</v>
      </c>
      <c r="T259" s="224"/>
      <c r="U259" s="224"/>
      <c r="V259" s="5"/>
    </row>
    <row r="260" spans="1:22" x14ac:dyDescent="0.35">
      <c r="A260" s="305"/>
      <c r="B260" s="332" t="s">
        <v>93</v>
      </c>
      <c r="C260" s="377"/>
      <c r="D260" s="377"/>
      <c r="E260" s="377"/>
      <c r="F260" s="279"/>
      <c r="G260" s="378"/>
      <c r="H260" s="377"/>
      <c r="I260" s="377"/>
      <c r="J260" s="377"/>
      <c r="K260" s="377"/>
      <c r="L260" s="377"/>
      <c r="M260" s="377"/>
      <c r="N260" s="377"/>
      <c r="O260" s="377"/>
      <c r="P260" s="332">
        <v>1</v>
      </c>
      <c r="Q260" s="378">
        <f t="shared" si="7"/>
        <v>1.6129032258064516E-2</v>
      </c>
      <c r="R260" s="333">
        <v>96</v>
      </c>
      <c r="S260" s="378">
        <f t="shared" si="8"/>
        <v>8.8938299055030569E-3</v>
      </c>
      <c r="T260" s="279"/>
      <c r="U260" s="282"/>
      <c r="V260" s="5"/>
    </row>
    <row r="261" spans="1:22" x14ac:dyDescent="0.35">
      <c r="A261" s="305"/>
      <c r="B261" s="332" t="s">
        <v>94</v>
      </c>
      <c r="C261" s="377"/>
      <c r="D261" s="377"/>
      <c r="E261" s="377"/>
      <c r="F261" s="279"/>
      <c r="G261" s="378"/>
      <c r="H261" s="377"/>
      <c r="I261" s="377"/>
      <c r="J261" s="377"/>
      <c r="K261" s="377"/>
      <c r="L261" s="377"/>
      <c r="M261" s="377"/>
      <c r="N261" s="377"/>
      <c r="O261" s="377"/>
      <c r="P261" s="332">
        <v>1</v>
      </c>
      <c r="Q261" s="378">
        <f t="shared" si="7"/>
        <v>1.6129032258064516E-2</v>
      </c>
      <c r="R261" s="333">
        <v>61</v>
      </c>
      <c r="S261" s="378">
        <f t="shared" si="8"/>
        <v>5.6512877524550675E-3</v>
      </c>
      <c r="T261" s="279"/>
      <c r="U261" s="282"/>
      <c r="V261" s="5"/>
    </row>
    <row r="262" spans="1:22" x14ac:dyDescent="0.35">
      <c r="A262" s="305"/>
      <c r="B262" s="332" t="s">
        <v>164</v>
      </c>
      <c r="C262" s="377"/>
      <c r="D262" s="377"/>
      <c r="E262" s="377"/>
      <c r="F262" s="279"/>
      <c r="G262" s="378"/>
      <c r="H262" s="377"/>
      <c r="I262" s="377"/>
      <c r="J262" s="377"/>
      <c r="K262" s="377"/>
      <c r="L262" s="377"/>
      <c r="M262" s="377"/>
      <c r="N262" s="377"/>
      <c r="O262" s="377"/>
      <c r="P262" s="332">
        <v>0</v>
      </c>
      <c r="Q262" s="378">
        <f t="shared" si="7"/>
        <v>0</v>
      </c>
      <c r="R262" s="333">
        <v>0</v>
      </c>
      <c r="S262" s="378">
        <f t="shared" si="8"/>
        <v>0</v>
      </c>
      <c r="T262" s="279"/>
      <c r="U262" s="282"/>
      <c r="V262" s="5"/>
    </row>
    <row r="263" spans="1:22" x14ac:dyDescent="0.35">
      <c r="A263" s="305"/>
      <c r="B263" s="332" t="s">
        <v>165</v>
      </c>
      <c r="C263" s="377"/>
      <c r="D263" s="377"/>
      <c r="E263" s="377"/>
      <c r="F263" s="279"/>
      <c r="G263" s="378"/>
      <c r="H263" s="377"/>
      <c r="I263" s="377"/>
      <c r="J263" s="377"/>
      <c r="K263" s="377"/>
      <c r="L263" s="377"/>
      <c r="M263" s="377"/>
      <c r="N263" s="377"/>
      <c r="O263" s="377"/>
      <c r="P263" s="332">
        <v>1</v>
      </c>
      <c r="Q263" s="378">
        <f t="shared" si="7"/>
        <v>1.6129032258064516E-2</v>
      </c>
      <c r="R263" s="333">
        <v>136</v>
      </c>
      <c r="S263" s="378">
        <f t="shared" si="8"/>
        <v>1.2599592366129331E-2</v>
      </c>
      <c r="T263" s="279"/>
      <c r="U263" s="282"/>
      <c r="V263" s="5"/>
    </row>
    <row r="264" spans="1:22" x14ac:dyDescent="0.35">
      <c r="A264" s="305"/>
      <c r="B264" s="332" t="s">
        <v>166</v>
      </c>
      <c r="C264" s="377"/>
      <c r="D264" s="377"/>
      <c r="E264" s="377"/>
      <c r="F264" s="279"/>
      <c r="G264" s="378"/>
      <c r="H264" s="377"/>
      <c r="I264" s="377"/>
      <c r="J264" s="377"/>
      <c r="K264" s="377"/>
      <c r="L264" s="377"/>
      <c r="M264" s="377"/>
      <c r="N264" s="377"/>
      <c r="O264" s="377"/>
      <c r="P264" s="332">
        <v>0</v>
      </c>
      <c r="Q264" s="378">
        <f t="shared" si="7"/>
        <v>0</v>
      </c>
      <c r="R264" s="333">
        <v>0</v>
      </c>
      <c r="S264" s="378">
        <f t="shared" si="8"/>
        <v>0</v>
      </c>
      <c r="T264" s="279"/>
      <c r="U264" s="282"/>
      <c r="V264" s="5"/>
    </row>
    <row r="265" spans="1:22" x14ac:dyDescent="0.35">
      <c r="A265" s="305"/>
      <c r="B265" s="332" t="s">
        <v>167</v>
      </c>
      <c r="C265" s="377"/>
      <c r="D265" s="377"/>
      <c r="E265" s="377"/>
      <c r="F265" s="279"/>
      <c r="G265" s="378"/>
      <c r="H265" s="377"/>
      <c r="I265" s="377"/>
      <c r="J265" s="377"/>
      <c r="K265" s="377"/>
      <c r="L265" s="377"/>
      <c r="M265" s="377"/>
      <c r="N265" s="377"/>
      <c r="O265" s="377"/>
      <c r="P265" s="332">
        <v>0</v>
      </c>
      <c r="Q265" s="378">
        <f t="shared" si="7"/>
        <v>0</v>
      </c>
      <c r="R265" s="333">
        <v>0</v>
      </c>
      <c r="S265" s="378">
        <f t="shared" si="8"/>
        <v>0</v>
      </c>
      <c r="T265" s="279"/>
      <c r="U265" s="282"/>
      <c r="V265" s="5"/>
    </row>
    <row r="266" spans="1:22" x14ac:dyDescent="0.35">
      <c r="A266" s="305"/>
      <c r="B266" s="332" t="s">
        <v>168</v>
      </c>
      <c r="C266" s="377"/>
      <c r="D266" s="377"/>
      <c r="E266" s="377"/>
      <c r="F266" s="279"/>
      <c r="G266" s="378"/>
      <c r="H266" s="377"/>
      <c r="I266" s="377"/>
      <c r="J266" s="377"/>
      <c r="K266" s="377"/>
      <c r="L266" s="377"/>
      <c r="M266" s="377"/>
      <c r="N266" s="377"/>
      <c r="O266" s="377"/>
      <c r="P266" s="332">
        <v>0</v>
      </c>
      <c r="Q266" s="378">
        <f t="shared" si="7"/>
        <v>0</v>
      </c>
      <c r="R266" s="333">
        <v>0</v>
      </c>
      <c r="S266" s="378">
        <f t="shared" si="8"/>
        <v>0</v>
      </c>
      <c r="T266" s="279"/>
      <c r="U266" s="282"/>
      <c r="V266" s="5"/>
    </row>
    <row r="267" spans="1:22" x14ac:dyDescent="0.35">
      <c r="A267" s="305"/>
      <c r="B267" s="332"/>
      <c r="C267" s="377"/>
      <c r="D267" s="377"/>
      <c r="E267" s="377"/>
      <c r="F267" s="279"/>
      <c r="G267" s="378"/>
      <c r="H267" s="377"/>
      <c r="I267" s="377"/>
      <c r="J267" s="377"/>
      <c r="K267" s="377"/>
      <c r="L267" s="377"/>
      <c r="M267" s="377"/>
      <c r="N267" s="377"/>
      <c r="O267" s="377"/>
      <c r="P267" s="332"/>
      <c r="Q267" s="378"/>
      <c r="R267" s="333"/>
      <c r="S267" s="378"/>
      <c r="T267" s="279"/>
      <c r="U267" s="282"/>
      <c r="V267" s="5"/>
    </row>
    <row r="268" spans="1:22" x14ac:dyDescent="0.35">
      <c r="A268" s="305"/>
      <c r="B268" s="279"/>
      <c r="C268" s="279"/>
      <c r="D268" s="279"/>
      <c r="E268" s="279"/>
      <c r="F268" s="279"/>
      <c r="G268" s="279"/>
      <c r="H268" s="380"/>
      <c r="I268" s="380"/>
      <c r="J268" s="380"/>
      <c r="K268" s="380"/>
      <c r="L268" s="380"/>
      <c r="M268" s="380"/>
      <c r="N268" s="380"/>
      <c r="O268" s="380"/>
      <c r="P268" s="332">
        <f>SUM(P259:P267)</f>
        <v>62</v>
      </c>
      <c r="Q268" s="378">
        <f>SUM(Q259:Q267)</f>
        <v>1</v>
      </c>
      <c r="R268" s="333">
        <f>SUM(R259:R267)</f>
        <v>10794</v>
      </c>
      <c r="S268" s="378">
        <f>SUM(S259:S267)</f>
        <v>0.99999999999999989</v>
      </c>
      <c r="T268" s="279"/>
      <c r="U268" s="282"/>
      <c r="V268" s="5"/>
    </row>
    <row r="269" spans="1:22" x14ac:dyDescent="0.35">
      <c r="A269" s="174"/>
      <c r="B269" s="258"/>
      <c r="C269" s="258"/>
      <c r="D269" s="258"/>
      <c r="E269" s="258"/>
      <c r="F269" s="258"/>
      <c r="G269" s="258"/>
      <c r="H269" s="374"/>
      <c r="I269" s="374"/>
      <c r="J269" s="374"/>
      <c r="K269" s="374"/>
      <c r="L269" s="374"/>
      <c r="M269" s="374"/>
      <c r="N269" s="374"/>
      <c r="O269" s="374"/>
      <c r="P269" s="334"/>
      <c r="Q269" s="375"/>
      <c r="R269" s="376"/>
      <c r="S269" s="375"/>
      <c r="T269" s="258"/>
      <c r="U269" s="258"/>
      <c r="V269" s="5"/>
    </row>
    <row r="270" spans="1:22" x14ac:dyDescent="0.35">
      <c r="A270" s="272"/>
      <c r="B270" s="385" t="s">
        <v>173</v>
      </c>
      <c r="C270" s="273"/>
      <c r="D270" s="273"/>
      <c r="E270" s="273"/>
      <c r="F270" s="273"/>
      <c r="G270" s="273"/>
      <c r="H270" s="275"/>
      <c r="I270" s="275"/>
      <c r="J270" s="275"/>
      <c r="K270" s="275"/>
      <c r="L270" s="275"/>
      <c r="M270" s="275"/>
      <c r="N270" s="275"/>
      <c r="O270" s="275"/>
      <c r="P270" s="392" t="s">
        <v>106</v>
      </c>
      <c r="Q270" s="386" t="s">
        <v>107</v>
      </c>
      <c r="R270" s="392" t="s">
        <v>115</v>
      </c>
      <c r="S270" s="386" t="s">
        <v>107</v>
      </c>
      <c r="T270" s="273"/>
      <c r="U270" s="274"/>
      <c r="V270" s="5"/>
    </row>
    <row r="271" spans="1:22" x14ac:dyDescent="0.35">
      <c r="A271" s="190"/>
      <c r="B271" s="227" t="s">
        <v>92</v>
      </c>
      <c r="C271" s="224"/>
      <c r="D271" s="224"/>
      <c r="E271" s="224"/>
      <c r="F271" s="224"/>
      <c r="G271" s="224"/>
      <c r="H271" s="245"/>
      <c r="I271" s="245"/>
      <c r="J271" s="245"/>
      <c r="K271" s="245"/>
      <c r="L271" s="245"/>
      <c r="M271" s="245"/>
      <c r="N271" s="245"/>
      <c r="O271" s="245"/>
      <c r="P271" s="227">
        <v>0</v>
      </c>
      <c r="Q271" s="244">
        <v>0</v>
      </c>
      <c r="R271" s="237">
        <v>0</v>
      </c>
      <c r="S271" s="244">
        <v>0</v>
      </c>
      <c r="T271" s="224"/>
      <c r="U271" s="224"/>
      <c r="V271" s="5"/>
    </row>
    <row r="272" spans="1:22" x14ac:dyDescent="0.35">
      <c r="A272" s="305"/>
      <c r="B272" s="332" t="s">
        <v>93</v>
      </c>
      <c r="C272" s="279"/>
      <c r="D272" s="279"/>
      <c r="E272" s="279"/>
      <c r="F272" s="279"/>
      <c r="G272" s="279"/>
      <c r="H272" s="380"/>
      <c r="I272" s="380"/>
      <c r="J272" s="380"/>
      <c r="K272" s="380"/>
      <c r="L272" s="380"/>
      <c r="M272" s="380"/>
      <c r="N272" s="380"/>
      <c r="O272" s="380"/>
      <c r="P272" s="332">
        <v>0</v>
      </c>
      <c r="Q272" s="378">
        <v>0</v>
      </c>
      <c r="R272" s="333">
        <v>0</v>
      </c>
      <c r="S272" s="378">
        <v>0</v>
      </c>
      <c r="T272" s="279"/>
      <c r="U272" s="282"/>
      <c r="V272" s="5"/>
    </row>
    <row r="273" spans="1:22" x14ac:dyDescent="0.35">
      <c r="A273" s="305"/>
      <c r="B273" s="332" t="s">
        <v>94</v>
      </c>
      <c r="C273" s="279"/>
      <c r="D273" s="279"/>
      <c r="E273" s="279"/>
      <c r="F273" s="279"/>
      <c r="G273" s="279"/>
      <c r="H273" s="380"/>
      <c r="I273" s="380"/>
      <c r="J273" s="380"/>
      <c r="K273" s="380"/>
      <c r="L273" s="380"/>
      <c r="M273" s="380"/>
      <c r="N273" s="380"/>
      <c r="O273" s="380"/>
      <c r="P273" s="332">
        <v>0</v>
      </c>
      <c r="Q273" s="378">
        <v>0</v>
      </c>
      <c r="R273" s="333">
        <v>0</v>
      </c>
      <c r="S273" s="378">
        <v>0</v>
      </c>
      <c r="T273" s="279"/>
      <c r="U273" s="282"/>
      <c r="V273" s="5"/>
    </row>
    <row r="274" spans="1:22" x14ac:dyDescent="0.35">
      <c r="A274" s="305"/>
      <c r="B274" s="332" t="s">
        <v>164</v>
      </c>
      <c r="C274" s="279"/>
      <c r="D274" s="279"/>
      <c r="E274" s="279"/>
      <c r="F274" s="279"/>
      <c r="G274" s="279"/>
      <c r="H274" s="380"/>
      <c r="I274" s="380"/>
      <c r="J274" s="380"/>
      <c r="K274" s="380"/>
      <c r="L274" s="380"/>
      <c r="M274" s="380"/>
      <c r="N274" s="380"/>
      <c r="O274" s="380"/>
      <c r="P274" s="332">
        <v>0</v>
      </c>
      <c r="Q274" s="378">
        <v>0</v>
      </c>
      <c r="R274" s="333">
        <v>0</v>
      </c>
      <c r="S274" s="378">
        <v>0</v>
      </c>
      <c r="T274" s="279"/>
      <c r="U274" s="282"/>
      <c r="V274" s="5"/>
    </row>
    <row r="275" spans="1:22" x14ac:dyDescent="0.35">
      <c r="A275" s="305"/>
      <c r="B275" s="332" t="s">
        <v>165</v>
      </c>
      <c r="C275" s="279"/>
      <c r="D275" s="279"/>
      <c r="E275" s="279"/>
      <c r="F275" s="279"/>
      <c r="G275" s="279"/>
      <c r="H275" s="380"/>
      <c r="I275" s="380"/>
      <c r="J275" s="380"/>
      <c r="K275" s="380"/>
      <c r="L275" s="380"/>
      <c r="M275" s="380"/>
      <c r="N275" s="380"/>
      <c r="O275" s="380"/>
      <c r="P275" s="332">
        <v>0</v>
      </c>
      <c r="Q275" s="378">
        <v>0</v>
      </c>
      <c r="R275" s="333">
        <v>0</v>
      </c>
      <c r="S275" s="378">
        <v>0</v>
      </c>
      <c r="T275" s="279"/>
      <c r="U275" s="282"/>
      <c r="V275" s="5"/>
    </row>
    <row r="276" spans="1:22" x14ac:dyDescent="0.35">
      <c r="A276" s="305"/>
      <c r="B276" s="332" t="s">
        <v>166</v>
      </c>
      <c r="C276" s="279"/>
      <c r="D276" s="279"/>
      <c r="E276" s="279"/>
      <c r="F276" s="279"/>
      <c r="G276" s="279"/>
      <c r="H276" s="380"/>
      <c r="I276" s="380"/>
      <c r="J276" s="380"/>
      <c r="K276" s="380"/>
      <c r="L276" s="380"/>
      <c r="M276" s="380"/>
      <c r="N276" s="380"/>
      <c r="O276" s="380"/>
      <c r="P276" s="332">
        <v>0</v>
      </c>
      <c r="Q276" s="378">
        <v>0</v>
      </c>
      <c r="R276" s="333">
        <v>0</v>
      </c>
      <c r="S276" s="378">
        <v>0</v>
      </c>
      <c r="T276" s="279"/>
      <c r="U276" s="282"/>
      <c r="V276" s="5"/>
    </row>
    <row r="277" spans="1:22" x14ac:dyDescent="0.35">
      <c r="A277" s="305"/>
      <c r="B277" s="332" t="s">
        <v>167</v>
      </c>
      <c r="C277" s="279"/>
      <c r="D277" s="279"/>
      <c r="E277" s="279"/>
      <c r="F277" s="279"/>
      <c r="G277" s="279"/>
      <c r="H277" s="380"/>
      <c r="I277" s="380"/>
      <c r="J277" s="380"/>
      <c r="K277" s="380"/>
      <c r="L277" s="380"/>
      <c r="M277" s="380"/>
      <c r="N277" s="380"/>
      <c r="O277" s="380"/>
      <c r="P277" s="332">
        <v>0</v>
      </c>
      <c r="Q277" s="378">
        <v>0</v>
      </c>
      <c r="R277" s="333">
        <v>0</v>
      </c>
      <c r="S277" s="378">
        <v>0</v>
      </c>
      <c r="T277" s="279"/>
      <c r="U277" s="282"/>
      <c r="V277" s="5"/>
    </row>
    <row r="278" spans="1:22" x14ac:dyDescent="0.35">
      <c r="A278" s="305"/>
      <c r="B278" s="332" t="s">
        <v>168</v>
      </c>
      <c r="C278" s="279"/>
      <c r="D278" s="279"/>
      <c r="E278" s="279"/>
      <c r="F278" s="279"/>
      <c r="G278" s="279"/>
      <c r="H278" s="380"/>
      <c r="I278" s="380"/>
      <c r="J278" s="380"/>
      <c r="K278" s="380"/>
      <c r="L278" s="380"/>
      <c r="M278" s="380"/>
      <c r="N278" s="380"/>
      <c r="O278" s="380"/>
      <c r="P278" s="332">
        <v>0</v>
      </c>
      <c r="Q278" s="378">
        <v>0</v>
      </c>
      <c r="R278" s="333">
        <v>0</v>
      </c>
      <c r="S278" s="378">
        <v>0</v>
      </c>
      <c r="T278" s="279"/>
      <c r="U278" s="282"/>
      <c r="V278" s="5"/>
    </row>
    <row r="279" spans="1:22" x14ac:dyDescent="0.35">
      <c r="A279" s="305"/>
      <c r="B279" s="332"/>
      <c r="C279" s="279"/>
      <c r="D279" s="279"/>
      <c r="E279" s="279"/>
      <c r="F279" s="279"/>
      <c r="G279" s="279"/>
      <c r="H279" s="380"/>
      <c r="I279" s="380"/>
      <c r="J279" s="380"/>
      <c r="K279" s="380"/>
      <c r="L279" s="380"/>
      <c r="M279" s="380"/>
      <c r="N279" s="380"/>
      <c r="O279" s="380"/>
      <c r="P279" s="332"/>
      <c r="Q279" s="378"/>
      <c r="R279" s="333"/>
      <c r="S279" s="378"/>
      <c r="T279" s="279"/>
      <c r="U279" s="282"/>
      <c r="V279" s="5"/>
    </row>
    <row r="280" spans="1:22" x14ac:dyDescent="0.35">
      <c r="A280" s="305"/>
      <c r="B280" s="279" t="s">
        <v>121</v>
      </c>
      <c r="C280" s="279"/>
      <c r="D280" s="279"/>
      <c r="E280" s="279"/>
      <c r="F280" s="279"/>
      <c r="G280" s="279"/>
      <c r="H280" s="380"/>
      <c r="I280" s="380"/>
      <c r="J280" s="380"/>
      <c r="K280" s="380"/>
      <c r="L280" s="380"/>
      <c r="M280" s="380"/>
      <c r="N280" s="380"/>
      <c r="O280" s="380"/>
      <c r="P280" s="332">
        <f>SUM(P271:P278)</f>
        <v>0</v>
      </c>
      <c r="Q280" s="378">
        <f>SUM(Q271:Q278)</f>
        <v>0</v>
      </c>
      <c r="R280" s="333">
        <f>SUM(R271:R278)</f>
        <v>0</v>
      </c>
      <c r="S280" s="378">
        <f>SUM(S271:S278)</f>
        <v>0</v>
      </c>
      <c r="T280" s="279"/>
      <c r="U280" s="282"/>
      <c r="V280" s="5"/>
    </row>
    <row r="281" spans="1:22" x14ac:dyDescent="0.35">
      <c r="A281" s="305"/>
      <c r="B281" s="279"/>
      <c r="C281" s="279"/>
      <c r="D281" s="279"/>
      <c r="E281" s="279"/>
      <c r="F281" s="279"/>
      <c r="G281" s="279"/>
      <c r="H281" s="380"/>
      <c r="I281" s="380"/>
      <c r="J281" s="380"/>
      <c r="K281" s="380"/>
      <c r="L281" s="380"/>
      <c r="M281" s="380"/>
      <c r="N281" s="380"/>
      <c r="O281" s="380"/>
      <c r="P281" s="332"/>
      <c r="Q281" s="378"/>
      <c r="R281" s="333"/>
      <c r="S281" s="378"/>
      <c r="T281" s="279"/>
      <c r="U281" s="282"/>
      <c r="V281" s="5"/>
    </row>
    <row r="282" spans="1:22" x14ac:dyDescent="0.35">
      <c r="A282" s="305"/>
      <c r="B282" s="286" t="s">
        <v>174</v>
      </c>
      <c r="C282" s="279"/>
      <c r="D282" s="279"/>
      <c r="E282" s="279"/>
      <c r="F282" s="279"/>
      <c r="G282" s="279"/>
      <c r="H282" s="380"/>
      <c r="I282" s="380"/>
      <c r="J282" s="380"/>
      <c r="K282" s="380"/>
      <c r="L282" s="380"/>
      <c r="M282" s="380"/>
      <c r="N282" s="380"/>
      <c r="O282" s="380"/>
      <c r="P282" s="393">
        <f>P280+P268+P256</f>
        <v>2751</v>
      </c>
      <c r="Q282" s="378"/>
      <c r="R282" s="382">
        <f>+R280+R268+R256</f>
        <v>368139</v>
      </c>
      <c r="S282" s="378"/>
      <c r="T282" s="279"/>
      <c r="U282" s="282"/>
      <c r="V282" s="5"/>
    </row>
    <row r="283" spans="1:22" x14ac:dyDescent="0.35">
      <c r="A283" s="174"/>
      <c r="B283" s="258"/>
      <c r="C283" s="258"/>
      <c r="D283" s="258"/>
      <c r="E283" s="258"/>
      <c r="F283" s="258"/>
      <c r="G283" s="258"/>
      <c r="H283" s="374"/>
      <c r="I283" s="374"/>
      <c r="J283" s="374"/>
      <c r="K283" s="374"/>
      <c r="L283" s="374"/>
      <c r="M283" s="374"/>
      <c r="N283" s="374"/>
      <c r="O283" s="374"/>
      <c r="P283" s="374"/>
      <c r="Q283" s="374"/>
      <c r="R283" s="376"/>
      <c r="S283" s="374"/>
      <c r="T283" s="258"/>
      <c r="U283" s="258"/>
      <c r="V283" s="5"/>
    </row>
    <row r="284" spans="1:22" x14ac:dyDescent="0.35">
      <c r="A284" s="174"/>
      <c r="B284" s="229"/>
      <c r="C284" s="229"/>
      <c r="D284" s="229"/>
      <c r="E284" s="229"/>
      <c r="F284" s="229"/>
      <c r="G284" s="229"/>
      <c r="H284" s="246"/>
      <c r="I284" s="246"/>
      <c r="J284" s="246"/>
      <c r="K284" s="246"/>
      <c r="L284" s="246"/>
      <c r="M284" s="246"/>
      <c r="N284" s="246"/>
      <c r="O284" s="246"/>
      <c r="P284" s="246"/>
      <c r="Q284" s="246"/>
      <c r="R284" s="247"/>
      <c r="S284" s="246"/>
      <c r="T284" s="229"/>
      <c r="U284" s="229"/>
      <c r="V284" s="5"/>
    </row>
    <row r="285" spans="1:22" x14ac:dyDescent="0.35">
      <c r="A285" s="213"/>
      <c r="B285" s="216" t="s">
        <v>95</v>
      </c>
      <c r="C285" s="229"/>
      <c r="D285" s="229"/>
      <c r="E285" s="229"/>
      <c r="F285" s="222" t="s">
        <v>101</v>
      </c>
      <c r="G285" s="229"/>
      <c r="H285" s="216" t="s">
        <v>103</v>
      </c>
      <c r="I285" s="248"/>
      <c r="J285" s="248"/>
      <c r="K285" s="248"/>
      <c r="L285" s="248"/>
      <c r="M285" s="248"/>
      <c r="N285" s="248"/>
      <c r="O285" s="248"/>
      <c r="P285" s="248"/>
      <c r="Q285" s="248"/>
      <c r="R285" s="248"/>
      <c r="S285" s="248"/>
      <c r="T285" s="248"/>
      <c r="U285" s="248"/>
      <c r="V285" s="5"/>
    </row>
    <row r="286" spans="1:22" x14ac:dyDescent="0.35">
      <c r="A286" s="213"/>
      <c r="B286" s="216" t="s">
        <v>330</v>
      </c>
      <c r="C286" s="216"/>
      <c r="D286" s="216"/>
      <c r="E286" s="216"/>
      <c r="F286" s="249" t="s">
        <v>278</v>
      </c>
      <c r="G286" s="216"/>
      <c r="H286" s="216" t="s">
        <v>279</v>
      </c>
      <c r="I286" s="248"/>
      <c r="J286" s="248"/>
      <c r="K286" s="248"/>
      <c r="L286" s="248"/>
      <c r="M286" s="248"/>
      <c r="N286" s="248"/>
      <c r="O286" s="248"/>
      <c r="P286" s="248"/>
      <c r="Q286" s="248"/>
      <c r="R286" s="248"/>
      <c r="S286" s="248"/>
      <c r="T286" s="248"/>
      <c r="U286" s="248"/>
      <c r="V286" s="5"/>
    </row>
    <row r="287" spans="1:22" x14ac:dyDescent="0.35">
      <c r="A287" s="213"/>
      <c r="B287" s="216" t="s">
        <v>331</v>
      </c>
      <c r="C287" s="216"/>
      <c r="D287" s="216"/>
      <c r="E287" s="216"/>
      <c r="F287" s="249" t="s">
        <v>154</v>
      </c>
      <c r="G287" s="216"/>
      <c r="H287" s="216" t="s">
        <v>161</v>
      </c>
      <c r="I287" s="248"/>
      <c r="J287" s="248"/>
      <c r="K287" s="248"/>
      <c r="L287" s="248"/>
      <c r="M287" s="248"/>
      <c r="N287" s="248"/>
      <c r="O287" s="248"/>
      <c r="P287" s="248"/>
      <c r="Q287" s="248"/>
      <c r="R287" s="248"/>
      <c r="S287" s="248"/>
      <c r="T287" s="248"/>
      <c r="U287" s="248"/>
      <c r="V287" s="5"/>
    </row>
    <row r="288" spans="1:22" x14ac:dyDescent="0.35">
      <c r="A288" s="213"/>
      <c r="B288" s="216"/>
      <c r="C288" s="216"/>
      <c r="D288" s="216"/>
      <c r="E288" s="216"/>
      <c r="F288" s="249"/>
      <c r="G288" s="216"/>
      <c r="H288" s="216"/>
      <c r="I288" s="248"/>
      <c r="J288" s="248"/>
      <c r="K288" s="248"/>
      <c r="L288" s="248"/>
      <c r="M288" s="248"/>
      <c r="N288" s="248"/>
      <c r="O288" s="248"/>
      <c r="P288" s="248"/>
      <c r="Q288" s="248"/>
      <c r="R288" s="248"/>
      <c r="S288" s="248"/>
      <c r="T288" s="248"/>
      <c r="U288" s="248"/>
      <c r="V288" s="5"/>
    </row>
    <row r="289" spans="1:22" x14ac:dyDescent="0.35">
      <c r="A289" s="213"/>
      <c r="B289" s="258" t="s">
        <v>358</v>
      </c>
      <c r="C289" s="216"/>
      <c r="D289" s="216"/>
      <c r="E289" s="216"/>
      <c r="F289" s="249"/>
      <c r="G289" s="216"/>
      <c r="H289" s="216"/>
      <c r="I289" s="248"/>
      <c r="J289" s="248"/>
      <c r="K289" s="248"/>
      <c r="L289" s="248"/>
      <c r="M289" s="248"/>
      <c r="N289" s="248"/>
      <c r="O289" s="248"/>
      <c r="P289" s="248"/>
      <c r="Q289" s="248"/>
      <c r="R289" s="248"/>
      <c r="S289" s="248"/>
      <c r="T289" s="248"/>
      <c r="U289" s="248"/>
      <c r="V289" s="5"/>
    </row>
    <row r="290" spans="1:22" x14ac:dyDescent="0.35">
      <c r="A290" s="213"/>
      <c r="B290" s="258" t="s">
        <v>355</v>
      </c>
      <c r="C290" s="216"/>
      <c r="D290" s="216"/>
      <c r="E290" s="216"/>
      <c r="F290" s="249"/>
      <c r="G290" s="216"/>
      <c r="H290" s="216"/>
      <c r="I290" s="248"/>
      <c r="J290" s="248"/>
      <c r="K290" s="248"/>
      <c r="L290" s="248"/>
      <c r="M290" s="248"/>
      <c r="N290" s="248"/>
      <c r="O290" s="248"/>
      <c r="P290" s="248"/>
      <c r="Q290" s="248"/>
      <c r="R290" s="248"/>
      <c r="S290" s="248"/>
      <c r="T290" s="248"/>
      <c r="U290" s="248"/>
      <c r="V290" s="5"/>
    </row>
    <row r="291" spans="1:22" x14ac:dyDescent="0.35">
      <c r="A291" s="213"/>
      <c r="B291" s="258" t="s">
        <v>357</v>
      </c>
      <c r="C291" s="216"/>
      <c r="D291" s="216"/>
      <c r="E291" s="216"/>
      <c r="F291" s="249"/>
      <c r="G291" s="216"/>
      <c r="H291" s="216"/>
      <c r="I291" s="248"/>
      <c r="J291" s="248"/>
      <c r="K291" s="248"/>
      <c r="L291" s="248"/>
      <c r="M291" s="248"/>
      <c r="N291" s="248"/>
      <c r="O291" s="248"/>
      <c r="P291" s="248"/>
      <c r="Q291" s="248"/>
      <c r="R291" s="248"/>
      <c r="S291" s="248"/>
      <c r="T291" s="248"/>
      <c r="U291" s="248"/>
      <c r="V291" s="5"/>
    </row>
    <row r="292" spans="1:22" x14ac:dyDescent="0.35">
      <c r="A292" s="213"/>
      <c r="B292" s="258" t="s">
        <v>356</v>
      </c>
      <c r="C292" s="216"/>
      <c r="D292" s="216"/>
      <c r="E292" s="216"/>
      <c r="F292" s="249"/>
      <c r="G292" s="216"/>
      <c r="H292" s="216"/>
      <c r="I292" s="248"/>
      <c r="J292" s="248"/>
      <c r="K292" s="248"/>
      <c r="L292" s="248"/>
      <c r="M292" s="248"/>
      <c r="N292" s="248"/>
      <c r="O292" s="248"/>
      <c r="P292" s="248"/>
      <c r="Q292" s="248"/>
      <c r="R292" s="248"/>
      <c r="S292" s="248"/>
      <c r="T292" s="248"/>
      <c r="U292" s="248"/>
      <c r="V292" s="5"/>
    </row>
    <row r="293" spans="1:22" x14ac:dyDescent="0.35">
      <c r="A293" s="213"/>
      <c r="B293" s="258"/>
      <c r="C293" s="216"/>
      <c r="D293" s="216"/>
      <c r="E293" s="216"/>
      <c r="F293" s="249"/>
      <c r="G293" s="216"/>
      <c r="H293" s="216"/>
      <c r="I293" s="248"/>
      <c r="J293" s="248"/>
      <c r="K293" s="248"/>
      <c r="L293" s="248"/>
      <c r="M293" s="248"/>
      <c r="N293" s="248"/>
      <c r="O293" s="248"/>
      <c r="P293" s="248"/>
      <c r="Q293" s="248"/>
      <c r="R293" s="248"/>
      <c r="S293" s="248"/>
      <c r="T293" s="248"/>
      <c r="U293" s="248"/>
      <c r="V293" s="5"/>
    </row>
    <row r="294" spans="1:22" ht="17.5" x14ac:dyDescent="0.35">
      <c r="A294" s="213"/>
      <c r="B294" s="401" t="s">
        <v>359</v>
      </c>
      <c r="C294" s="216"/>
      <c r="D294" s="216"/>
      <c r="E294" s="216"/>
      <c r="F294" s="216"/>
      <c r="G294" s="250"/>
      <c r="H294" s="248"/>
      <c r="I294" s="248"/>
      <c r="J294" s="248"/>
      <c r="K294" s="248"/>
      <c r="L294" s="188"/>
      <c r="M294" s="188"/>
      <c r="N294" s="402"/>
      <c r="O294" s="188"/>
      <c r="P294" s="402" t="s">
        <v>177</v>
      </c>
      <c r="Q294" s="248"/>
      <c r="R294" s="248"/>
      <c r="S294" s="248"/>
      <c r="T294" s="248"/>
      <c r="U294" s="248"/>
      <c r="V294" s="5"/>
    </row>
    <row r="295" spans="1:22" x14ac:dyDescent="0.35">
      <c r="A295" s="213"/>
      <c r="B295" s="216"/>
      <c r="C295" s="216"/>
      <c r="D295" s="216"/>
      <c r="E295" s="216"/>
      <c r="F295" s="216"/>
      <c r="G295" s="250"/>
      <c r="H295" s="248"/>
      <c r="I295" s="248"/>
      <c r="J295" s="248"/>
      <c r="K295" s="248"/>
      <c r="L295" s="248"/>
      <c r="M295" s="248"/>
      <c r="N295" s="248"/>
      <c r="O295" s="248"/>
      <c r="P295" s="248"/>
      <c r="Q295" s="248"/>
      <c r="R295" s="248"/>
      <c r="S295" s="248"/>
      <c r="T295" s="248"/>
      <c r="U295" s="248"/>
      <c r="V295" s="5"/>
    </row>
    <row r="296" spans="1:22" ht="18" thickBot="1" x14ac:dyDescent="0.4">
      <c r="A296" s="213"/>
      <c r="B296" s="251" t="str">
        <f>B196</f>
        <v>PM10 INVESTOR REPORT QUARTER ENDING AUGUST 2017</v>
      </c>
      <c r="C296" s="216"/>
      <c r="D296" s="216"/>
      <c r="E296" s="216"/>
      <c r="F296" s="216"/>
      <c r="G296" s="250"/>
      <c r="H296" s="248"/>
      <c r="I296" s="248"/>
      <c r="J296" s="248"/>
      <c r="K296" s="248"/>
      <c r="L296" s="248"/>
      <c r="M296" s="248"/>
      <c r="N296" s="248"/>
      <c r="O296" s="248"/>
      <c r="P296" s="248"/>
      <c r="Q296" s="248"/>
      <c r="R296" s="248"/>
      <c r="S296" s="248"/>
      <c r="T296" s="248"/>
      <c r="U296" s="248"/>
      <c r="V296" s="5"/>
    </row>
    <row r="297" spans="1:22" x14ac:dyDescent="0.35">
      <c r="A297" s="100"/>
      <c r="B297" s="100"/>
      <c r="C297" s="100"/>
      <c r="D297" s="100"/>
      <c r="E297" s="100"/>
      <c r="F297" s="100"/>
      <c r="G297" s="100"/>
      <c r="H297" s="100"/>
      <c r="I297" s="100"/>
      <c r="J297" s="100"/>
      <c r="K297" s="100"/>
      <c r="L297" s="100"/>
      <c r="M297" s="100"/>
      <c r="N297" s="100"/>
      <c r="O297" s="100"/>
      <c r="P297" s="100"/>
      <c r="Q297" s="100"/>
      <c r="R297" s="100"/>
      <c r="S297" s="100"/>
      <c r="T297" s="100"/>
      <c r="U297" s="100"/>
    </row>
  </sheetData>
  <hyperlinks>
    <hyperlink ref="J9" r:id="rId1" xr:uid="{00000000-0004-0000-2E00-000000000000}"/>
    <hyperlink ref="N232" r:id="rId2" xr:uid="{00000000-0004-0000-2E00-000001000000}"/>
    <hyperlink ref="P294" r:id="rId3" xr:uid="{00000000-0004-0000-2E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89CB31"/>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0.68479999999999996</v>
      </c>
      <c r="R16" s="514" t="s">
        <v>147</v>
      </c>
      <c r="S16" s="513">
        <v>0.31519999999999998</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43091</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28834.650020800003</v>
      </c>
      <c r="E32" s="528"/>
      <c r="F32" s="529">
        <f>F31*F38</f>
        <v>105000</v>
      </c>
      <c r="G32" s="529"/>
      <c r="H32" s="533">
        <f>H31*H38</f>
        <v>222000</v>
      </c>
      <c r="I32" s="529"/>
      <c r="J32" s="529">
        <f>J31*J38</f>
        <v>22873.1764</v>
      </c>
      <c r="K32" s="529"/>
      <c r="L32" s="533">
        <f>L31*L38</f>
        <v>14387.9658</v>
      </c>
      <c r="M32" s="529"/>
      <c r="N32" s="534">
        <f>N31*N38</f>
        <v>37998.986599999997</v>
      </c>
      <c r="O32" s="529"/>
      <c r="P32" s="533">
        <f>P31*P38</f>
        <v>20290.720999999998</v>
      </c>
      <c r="Q32" s="529"/>
      <c r="R32" s="529"/>
      <c r="S32" s="528"/>
      <c r="T32" s="529"/>
      <c r="U32" s="530"/>
      <c r="V32" s="506"/>
    </row>
    <row r="33" spans="1:26" s="507" customFormat="1" x14ac:dyDescent="0.35">
      <c r="A33" s="520"/>
      <c r="B33" s="526" t="s">
        <v>141</v>
      </c>
      <c r="C33" s="528"/>
      <c r="D33" s="536">
        <f>D34*D37</f>
        <v>21526.116573600004</v>
      </c>
      <c r="E33" s="531"/>
      <c r="F33" s="535">
        <f>F37*F31</f>
        <v>105000</v>
      </c>
      <c r="G33" s="535"/>
      <c r="H33" s="537">
        <f>H31*H37</f>
        <v>222000</v>
      </c>
      <c r="I33" s="535"/>
      <c r="J33" s="535">
        <f>J31*J37</f>
        <v>22284.207399999999</v>
      </c>
      <c r="K33" s="535"/>
      <c r="L33" s="537">
        <f>L31*L37</f>
        <v>14017.4853</v>
      </c>
      <c r="M33" s="535"/>
      <c r="N33" s="535">
        <f>N31*N37</f>
        <v>37020.538099999998</v>
      </c>
      <c r="O33" s="535"/>
      <c r="P33" s="537">
        <f>P31*P37</f>
        <v>19768.248499999998</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28834.650020800003</v>
      </c>
      <c r="E35" s="528"/>
      <c r="F35" s="529">
        <f>F34*F38</f>
        <v>105000</v>
      </c>
      <c r="G35" s="529"/>
      <c r="H35" s="529">
        <f>H34*H38</f>
        <v>150000</v>
      </c>
      <c r="I35" s="529"/>
      <c r="J35" s="529">
        <f>J32</f>
        <v>22873.1764</v>
      </c>
      <c r="K35" s="529"/>
      <c r="L35" s="529">
        <f>L34*L38</f>
        <v>9721.8378143999998</v>
      </c>
      <c r="M35" s="529"/>
      <c r="N35" s="529">
        <f>N32</f>
        <v>37998.986599999997</v>
      </c>
      <c r="O35" s="529"/>
      <c r="P35" s="529">
        <f>P34*P38</f>
        <v>13709.886796399998</v>
      </c>
      <c r="Q35" s="529"/>
      <c r="R35" s="529"/>
      <c r="S35" s="528"/>
      <c r="T35" s="529">
        <f>SUM(C35:P35)</f>
        <v>368138.53763159999</v>
      </c>
      <c r="U35" s="530"/>
      <c r="V35" s="506"/>
      <c r="X35" s="538"/>
      <c r="Z35" s="538"/>
    </row>
    <row r="36" spans="1:26" s="507" customFormat="1" x14ac:dyDescent="0.35">
      <c r="A36" s="524"/>
      <c r="B36" s="526" t="s">
        <v>298</v>
      </c>
      <c r="C36" s="531"/>
      <c r="D36" s="535">
        <f>D37*D34</f>
        <v>21526.116573600004</v>
      </c>
      <c r="E36" s="531"/>
      <c r="F36" s="535">
        <f>F37*F34</f>
        <v>105000</v>
      </c>
      <c r="G36" s="535"/>
      <c r="H36" s="535">
        <f>H37*H34</f>
        <v>150000</v>
      </c>
      <c r="I36" s="535"/>
      <c r="J36" s="535">
        <f>J37*J34</f>
        <v>22284.207399999999</v>
      </c>
      <c r="K36" s="535"/>
      <c r="L36" s="535">
        <f>L37*L34</f>
        <v>9471.5069903999993</v>
      </c>
      <c r="M36" s="535"/>
      <c r="N36" s="535">
        <f>N37*N34</f>
        <v>37020.538099999998</v>
      </c>
      <c r="O36" s="535"/>
      <c r="P36" s="535">
        <f>P34*P37</f>
        <v>13356.8663774</v>
      </c>
      <c r="Q36" s="539"/>
      <c r="R36" s="539"/>
      <c r="S36" s="528"/>
      <c r="T36" s="535">
        <f>SUM(C36:P36)</f>
        <v>358659.23544140003</v>
      </c>
      <c r="U36" s="530"/>
      <c r="V36" s="506"/>
      <c r="X36" s="538"/>
      <c r="Z36" s="538"/>
    </row>
    <row r="37" spans="1:26" s="491" customFormat="1" x14ac:dyDescent="0.35">
      <c r="A37" s="492"/>
      <c r="B37" s="479" t="s">
        <v>137</v>
      </c>
      <c r="C37" s="493"/>
      <c r="D37" s="494">
        <v>3.4109100000000003E-2</v>
      </c>
      <c r="E37" s="495"/>
      <c r="F37" s="494">
        <v>1</v>
      </c>
      <c r="G37" s="494"/>
      <c r="H37" s="494">
        <v>1</v>
      </c>
      <c r="I37" s="494"/>
      <c r="J37" s="494">
        <v>0.71884539999999997</v>
      </c>
      <c r="K37" s="494"/>
      <c r="L37" s="494">
        <v>0.71884539999999997</v>
      </c>
      <c r="M37" s="494"/>
      <c r="N37" s="494">
        <v>0.71884539999999997</v>
      </c>
      <c r="O37" s="494"/>
      <c r="P37" s="494">
        <v>0.71884539999999997</v>
      </c>
      <c r="Q37" s="496"/>
      <c r="R37" s="496"/>
      <c r="S37" s="493"/>
      <c r="T37" s="493"/>
      <c r="U37" s="497"/>
      <c r="V37" s="490"/>
    </row>
    <row r="38" spans="1:26" s="491" customFormat="1" x14ac:dyDescent="0.35">
      <c r="A38" s="492"/>
      <c r="B38" s="479" t="s">
        <v>138</v>
      </c>
      <c r="C38" s="493"/>
      <c r="D38" s="494">
        <v>4.5689800000000003E-2</v>
      </c>
      <c r="E38" s="495"/>
      <c r="F38" s="494">
        <v>1</v>
      </c>
      <c r="G38" s="494"/>
      <c r="H38" s="494">
        <v>1</v>
      </c>
      <c r="I38" s="494"/>
      <c r="J38" s="494">
        <v>0.73784439999999996</v>
      </c>
      <c r="K38" s="494"/>
      <c r="L38" s="494">
        <v>0.73784439999999996</v>
      </c>
      <c r="M38" s="494"/>
      <c r="N38" s="494">
        <v>0.73784439999999996</v>
      </c>
      <c r="O38" s="494"/>
      <c r="P38" s="494">
        <v>0.73784439999999996</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4.1688000000000003E-3</v>
      </c>
      <c r="E40" s="521"/>
      <c r="F40" s="541">
        <v>6.4688000000000002E-3</v>
      </c>
      <c r="G40" s="540"/>
      <c r="H40" s="541">
        <v>0</v>
      </c>
      <c r="I40" s="540"/>
      <c r="J40" s="541">
        <v>8.6688000000000008E-3</v>
      </c>
      <c r="K40" s="540"/>
      <c r="L40" s="541">
        <v>2.1099999999999999E-3</v>
      </c>
      <c r="M40" s="540"/>
      <c r="N40" s="541">
        <v>1.42688E-2</v>
      </c>
      <c r="O40" s="540"/>
      <c r="P40" s="541">
        <v>7.7099999999999998E-3</v>
      </c>
      <c r="Q40" s="540"/>
      <c r="R40" s="541"/>
      <c r="S40" s="521"/>
      <c r="T40" s="527"/>
      <c r="U40" s="523"/>
      <c r="V40" s="506"/>
    </row>
    <row r="41" spans="1:26" s="507" customFormat="1" x14ac:dyDescent="0.35">
      <c r="A41" s="520"/>
      <c r="B41" s="521" t="s">
        <v>13</v>
      </c>
      <c r="C41" s="521"/>
      <c r="D41" s="541">
        <v>3.7869000000000002E-3</v>
      </c>
      <c r="E41" s="521"/>
      <c r="F41" s="541">
        <v>6.0869000000000001E-3</v>
      </c>
      <c r="G41" s="540"/>
      <c r="H41" s="541">
        <v>0</v>
      </c>
      <c r="I41" s="540"/>
      <c r="J41" s="541">
        <v>8.2868999999999998E-3</v>
      </c>
      <c r="K41" s="540"/>
      <c r="L41" s="541">
        <v>2.0899999999999998E-3</v>
      </c>
      <c r="M41" s="540"/>
      <c r="N41" s="541">
        <v>1.3886900000000001E-2</v>
      </c>
      <c r="O41" s="540"/>
      <c r="P41" s="541">
        <v>7.6899999999999998E-3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4.1688000000000003E-3</v>
      </c>
      <c r="E43" s="521"/>
      <c r="F43" s="541">
        <f>+F40</f>
        <v>6.4688000000000002E-3</v>
      </c>
      <c r="G43" s="540"/>
      <c r="H43" s="541">
        <v>6.9188000000000001E-3</v>
      </c>
      <c r="I43" s="540"/>
      <c r="J43" s="541">
        <f>+J40</f>
        <v>8.6688000000000008E-3</v>
      </c>
      <c r="K43" s="540"/>
      <c r="L43" s="541">
        <v>9.3988000000000006E-3</v>
      </c>
      <c r="M43" s="540"/>
      <c r="N43" s="541">
        <f>+N40</f>
        <v>1.42688E-2</v>
      </c>
      <c r="O43" s="540"/>
      <c r="P43" s="541">
        <v>1.54988E-2</v>
      </c>
      <c r="Q43" s="527"/>
      <c r="R43" s="527"/>
      <c r="S43" s="521"/>
      <c r="T43" s="540">
        <f>SUMPRODUCT(D43:P43,D35:P35)/T35</f>
        <v>7.8274696309973881E-3</v>
      </c>
      <c r="U43" s="523"/>
      <c r="V43" s="506"/>
    </row>
    <row r="44" spans="1:26" s="507" customFormat="1" x14ac:dyDescent="0.35">
      <c r="A44" s="520"/>
      <c r="B44" s="521" t="s">
        <v>301</v>
      </c>
      <c r="C44" s="542"/>
      <c r="D44" s="541">
        <f>+D41</f>
        <v>3.7869000000000002E-3</v>
      </c>
      <c r="E44" s="521"/>
      <c r="F44" s="541">
        <f>+F41</f>
        <v>6.0869000000000001E-3</v>
      </c>
      <c r="G44" s="540"/>
      <c r="H44" s="541">
        <v>6.5369E-3</v>
      </c>
      <c r="I44" s="540"/>
      <c r="J44" s="541">
        <f>+J41</f>
        <v>8.2868999999999998E-3</v>
      </c>
      <c r="K44" s="540"/>
      <c r="L44" s="541">
        <v>9.0168999999999996E-3</v>
      </c>
      <c r="M44" s="540"/>
      <c r="N44" s="541">
        <f>+N41</f>
        <v>1.3886900000000001E-2</v>
      </c>
      <c r="O44" s="540"/>
      <c r="P44" s="541">
        <v>1.5116900000000001E-2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0.29701758331365241</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43084</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92</v>
      </c>
      <c r="Q56" s="521"/>
      <c r="R56" s="551">
        <v>42901</v>
      </c>
      <c r="S56" s="552"/>
      <c r="T56" s="551">
        <v>42992</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91</v>
      </c>
      <c r="Q57" s="521"/>
      <c r="R57" s="551">
        <v>42993</v>
      </c>
      <c r="S57" s="552"/>
      <c r="T57" s="551">
        <v>43083</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43070</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365</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368139</v>
      </c>
      <c r="M67" s="564"/>
      <c r="N67" s="564">
        <f>9480+258+322</f>
        <v>10060</v>
      </c>
      <c r="O67" s="564"/>
      <c r="P67" s="564">
        <f>258+322</f>
        <v>580</v>
      </c>
      <c r="Q67" s="564"/>
      <c r="R67" s="564">
        <v>0</v>
      </c>
      <c r="S67" s="564"/>
      <c r="T67" s="565">
        <f>+L67-N67+P67-R67</f>
        <v>358659</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368139</v>
      </c>
      <c r="M70" s="564"/>
      <c r="N70" s="564">
        <f>SUM(N67:N69)</f>
        <v>10060</v>
      </c>
      <c r="O70" s="564"/>
      <c r="P70" s="564">
        <f>SUM(P67:P69)</f>
        <v>580</v>
      </c>
      <c r="Q70" s="564"/>
      <c r="R70" s="564">
        <f>SUM(R67:R69)</f>
        <v>0</v>
      </c>
      <c r="S70" s="564"/>
      <c r="T70" s="564">
        <f>SUM(T67:T69)</f>
        <v>358659</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368139</v>
      </c>
      <c r="M83" s="564"/>
      <c r="N83" s="564"/>
      <c r="O83" s="564"/>
      <c r="P83" s="564"/>
      <c r="Q83" s="564"/>
      <c r="R83" s="564"/>
      <c r="S83" s="564"/>
      <c r="T83" s="564">
        <f>SUM(T70:T82)</f>
        <v>358659</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43069</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10060-7</f>
        <v>10053</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1761+944-351-333</f>
        <v>2021</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28+37</f>
        <v>65</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18</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159</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10053</v>
      </c>
      <c r="S95" s="521"/>
      <c r="T95" s="564">
        <f>SUM(T87:T94)</f>
        <v>2263</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-49</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10053</v>
      </c>
      <c r="S99" s="521"/>
      <c r="T99" s="564">
        <f>T95+T97+T96+T98</f>
        <v>2214</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-141-125-5</f>
        <v>-271</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-30-169</f>
        <v>-199</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-259</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-23</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-49</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-53</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-135</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-13</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7</v>
      </c>
      <c r="S114" s="521"/>
      <c r="T114" s="565">
        <v>-7</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-141</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-1062</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0</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-580</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-7309</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-589</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-250</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-979</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-353</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-10060</v>
      </c>
      <c r="S131" s="564"/>
      <c r="T131" s="564">
        <f>SUM(T100:T129)</f>
        <v>-2214</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NOVEMBER 2017</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7</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7</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-7</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f>-T98</f>
        <v>49</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358659</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358659</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+'Aug 17'!Q182</f>
        <v>46164</v>
      </c>
      <c r="R180" s="565">
        <f>+'Aug 17'!R182</f>
        <v>5995</v>
      </c>
      <c r="S180" s="521"/>
      <c r="T180" s="565">
        <f>Q180+R180</f>
        <v>52159</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f>258+322</f>
        <v>580</v>
      </c>
      <c r="R181" s="564">
        <v>0</v>
      </c>
      <c r="S181" s="521"/>
      <c r="T181" s="565">
        <f>Q181+R181</f>
        <v>580</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46744</v>
      </c>
      <c r="R182" s="565">
        <f>R181+R180</f>
        <v>5995</v>
      </c>
      <c r="S182" s="521"/>
      <c r="T182" s="565">
        <f>Q182+R182</f>
        <v>52739</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107317.48000000001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4.2379912663755457</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1.77</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20.597222222222221</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9.67</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7.5053191489361701</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4.6399999999999997</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NOVEMBER 2017</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43069</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2.061E-2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7.8274696309973881E-3</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1.2782530369002612E-2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6.0140327430671563E-3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10.220000000000001</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2.7326634776538211E-2</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8.6499999999999994E-2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1</v>
      </c>
      <c r="R215" s="624">
        <v>91</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63</v>
      </c>
      <c r="R216" s="580">
        <f>+R268</f>
        <v>9840</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7</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'Aug 17'!R222+R221</f>
        <v>7073</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2</v>
      </c>
      <c r="R228" s="580">
        <v>1635</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2689</v>
      </c>
      <c r="Q235" s="589">
        <f t="shared" ref="Q235:Q242" si="2">P235/$P$244</f>
        <v>0.99629492404594289</v>
      </c>
      <c r="R235" s="594">
        <f t="shared" ref="R235:R242" si="3">+R247+R259+R271</f>
        <v>357488</v>
      </c>
      <c r="S235" s="589">
        <f t="shared" ref="S235:S242" si="4">R235/$R$244</f>
        <v>0.99673506032192138</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5</v>
      </c>
      <c r="Q236" s="587">
        <f t="shared" si="2"/>
        <v>1.8525379770285291E-3</v>
      </c>
      <c r="R236" s="565">
        <f t="shared" si="3"/>
        <v>498</v>
      </c>
      <c r="S236" s="587">
        <f t="shared" si="4"/>
        <v>1.3885055163818558E-3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2</v>
      </c>
      <c r="Q237" s="587">
        <f t="shared" si="2"/>
        <v>7.4101519081141163E-4</v>
      </c>
      <c r="R237" s="565">
        <f t="shared" si="3"/>
        <v>405</v>
      </c>
      <c r="S237" s="587">
        <f t="shared" si="4"/>
        <v>1.1292062934430754E-3</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1</v>
      </c>
      <c r="Q238" s="587">
        <f t="shared" si="2"/>
        <v>3.7050759540570581E-4</v>
      </c>
      <c r="R238" s="565">
        <f t="shared" si="3"/>
        <v>116</v>
      </c>
      <c r="S238" s="587">
        <f t="shared" si="4"/>
        <v>3.2342698775159691E-4</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0</v>
      </c>
      <c r="Q239" s="587">
        <f t="shared" si="2"/>
        <v>0</v>
      </c>
      <c r="R239" s="565">
        <f t="shared" si="3"/>
        <v>0</v>
      </c>
      <c r="S239" s="587">
        <f t="shared" si="4"/>
        <v>0</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1</v>
      </c>
      <c r="Q240" s="587">
        <f t="shared" si="2"/>
        <v>3.7050759540570581E-4</v>
      </c>
      <c r="R240" s="565">
        <f t="shared" si="3"/>
        <v>91</v>
      </c>
      <c r="S240" s="587">
        <f t="shared" si="4"/>
        <v>2.5372289556375278E-4</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1</v>
      </c>
      <c r="Q241" s="587">
        <f t="shared" si="2"/>
        <v>3.7050759540570581E-4</v>
      </c>
      <c r="R241" s="565">
        <f t="shared" si="3"/>
        <v>61</v>
      </c>
      <c r="S241" s="587">
        <f t="shared" si="4"/>
        <v>1.7007798493833977E-4</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9">
        <f t="shared" si="4"/>
        <v>0</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2699</v>
      </c>
      <c r="Q244" s="587">
        <f>SUM(Q235:Q243)</f>
        <v>0.99999999999999989</v>
      </c>
      <c r="R244" s="565">
        <f>SUM(R235:R243)</f>
        <v>358659</v>
      </c>
      <c r="S244" s="587">
        <f>SUM(S235:S243)</f>
        <v>0.99999999999999989</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2632</v>
      </c>
      <c r="Q247" s="632">
        <f t="shared" ref="Q247:Q254" si="5">P247/$P$256</f>
        <v>0.99848254931714719</v>
      </c>
      <c r="R247" s="594">
        <v>348448</v>
      </c>
      <c r="S247" s="632">
        <f t="shared" ref="S247:S254" si="6">R247/$R$256</f>
        <v>0.99893641114732856</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4</v>
      </c>
      <c r="Q248" s="587">
        <f t="shared" si="5"/>
        <v>1.5174506828528073E-3</v>
      </c>
      <c r="R248" s="565">
        <v>371</v>
      </c>
      <c r="S248" s="587">
        <f t="shared" si="6"/>
        <v>1.0635888526714429E-3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0</v>
      </c>
      <c r="Q249" s="587">
        <f t="shared" si="5"/>
        <v>0</v>
      </c>
      <c r="R249" s="565">
        <v>0</v>
      </c>
      <c r="S249" s="587">
        <f t="shared" si="6"/>
        <v>0</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2636</v>
      </c>
      <c r="Q256" s="587">
        <f>SUM(Q247:Q255)</f>
        <v>1</v>
      </c>
      <c r="R256" s="565">
        <f>SUM(R247:R255)</f>
        <v>348819</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57</v>
      </c>
      <c r="Q259" s="632">
        <f t="shared" ref="Q259:Q266" si="7">P259/$P$268</f>
        <v>0.90476190476190477</v>
      </c>
      <c r="R259" s="594">
        <v>9040</v>
      </c>
      <c r="S259" s="632">
        <f t="shared" ref="S259:S266" si="8">R259/$R$268</f>
        <v>0.91869918699186992</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1</v>
      </c>
      <c r="Q260" s="587">
        <f t="shared" si="7"/>
        <v>1.5873015873015872E-2</v>
      </c>
      <c r="R260" s="565">
        <v>127</v>
      </c>
      <c r="S260" s="587">
        <f t="shared" si="8"/>
        <v>1.2906504065040651E-2</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2</v>
      </c>
      <c r="Q261" s="587">
        <f t="shared" si="7"/>
        <v>3.1746031746031744E-2</v>
      </c>
      <c r="R261" s="565">
        <v>405</v>
      </c>
      <c r="S261" s="587">
        <f t="shared" si="8"/>
        <v>4.1158536585365856E-2</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1</v>
      </c>
      <c r="Q262" s="587">
        <f t="shared" si="7"/>
        <v>1.5873015873015872E-2</v>
      </c>
      <c r="R262" s="565">
        <v>116</v>
      </c>
      <c r="S262" s="587">
        <f t="shared" si="8"/>
        <v>1.1788617886178862E-2</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0</v>
      </c>
      <c r="Q263" s="587">
        <f t="shared" si="7"/>
        <v>0</v>
      </c>
      <c r="R263" s="565">
        <v>0</v>
      </c>
      <c r="S263" s="587">
        <f t="shared" si="8"/>
        <v>0</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1</v>
      </c>
      <c r="Q264" s="587">
        <f t="shared" si="7"/>
        <v>1.5873015873015872E-2</v>
      </c>
      <c r="R264" s="565">
        <v>91</v>
      </c>
      <c r="S264" s="587">
        <f t="shared" si="8"/>
        <v>9.2479674796747974E-3</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1</v>
      </c>
      <c r="Q265" s="587">
        <f t="shared" si="7"/>
        <v>1.5873015873015872E-2</v>
      </c>
      <c r="R265" s="565">
        <v>61</v>
      </c>
      <c r="S265" s="587">
        <f t="shared" si="8"/>
        <v>6.1991869918699184E-3</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63</v>
      </c>
      <c r="Q268" s="587">
        <f>SUM(Q259:Q267)</f>
        <v>1</v>
      </c>
      <c r="R268" s="565">
        <f>SUM(R259:R267)</f>
        <v>9840</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2699</v>
      </c>
      <c r="Q282" s="587"/>
      <c r="R282" s="592">
        <f>+R280+R268+R256</f>
        <v>358659</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NOVEMBER 2017</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2F00-000000000000}"/>
    <hyperlink ref="N232" r:id="rId2" xr:uid="{00000000-0004-0000-2F00-000001000000}"/>
    <hyperlink ref="P294" r:id="rId3" xr:uid="{00000000-0004-0000-2F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2D2926"/>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0.68740000000000001</v>
      </c>
      <c r="R16" s="514" t="s">
        <v>147</v>
      </c>
      <c r="S16" s="513">
        <v>0.31259999999999999</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43179</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21526.116573600004</v>
      </c>
      <c r="E32" s="528"/>
      <c r="F32" s="529">
        <f>F31*F38</f>
        <v>105000</v>
      </c>
      <c r="G32" s="529"/>
      <c r="H32" s="533">
        <f>H31*H38</f>
        <v>222000</v>
      </c>
      <c r="I32" s="529"/>
      <c r="J32" s="529">
        <f>J31*J38</f>
        <v>22284.207399999999</v>
      </c>
      <c r="K32" s="529"/>
      <c r="L32" s="533">
        <f>L31*L38</f>
        <v>14017.4853</v>
      </c>
      <c r="M32" s="529"/>
      <c r="N32" s="534">
        <f>N31*N38</f>
        <v>37020.538099999998</v>
      </c>
      <c r="O32" s="529"/>
      <c r="P32" s="533">
        <f>P31*P38</f>
        <v>19768.248499999998</v>
      </c>
      <c r="Q32" s="529"/>
      <c r="R32" s="529"/>
      <c r="S32" s="528"/>
      <c r="T32" s="529"/>
      <c r="U32" s="530"/>
      <c r="V32" s="506"/>
    </row>
    <row r="33" spans="1:26" s="507" customFormat="1" x14ac:dyDescent="0.35">
      <c r="A33" s="520"/>
      <c r="B33" s="526" t="s">
        <v>141</v>
      </c>
      <c r="C33" s="528"/>
      <c r="D33" s="536">
        <f>D34*D37</f>
        <v>17474.2909248</v>
      </c>
      <c r="E33" s="531"/>
      <c r="F33" s="535">
        <f>F37*F31</f>
        <v>105000</v>
      </c>
      <c r="G33" s="535"/>
      <c r="H33" s="537">
        <f>H31*H37</f>
        <v>222000</v>
      </c>
      <c r="I33" s="535"/>
      <c r="J33" s="535">
        <f>J31*J37</f>
        <v>21957.690599999998</v>
      </c>
      <c r="K33" s="535"/>
      <c r="L33" s="537">
        <f>L31*L37</f>
        <v>13812.0957</v>
      </c>
      <c r="M33" s="535"/>
      <c r="N33" s="535">
        <f>N31*N37</f>
        <v>36478.098899999997</v>
      </c>
      <c r="O33" s="535"/>
      <c r="P33" s="537">
        <f>P31*P37</f>
        <v>19478.5965</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21526.116573600004</v>
      </c>
      <c r="E35" s="528"/>
      <c r="F35" s="529">
        <f>F34*F38</f>
        <v>105000</v>
      </c>
      <c r="G35" s="529"/>
      <c r="H35" s="529">
        <f>H34*H38</f>
        <v>150000</v>
      </c>
      <c r="I35" s="529"/>
      <c r="J35" s="529">
        <f>J32</f>
        <v>22284.207399999999</v>
      </c>
      <c r="K35" s="529"/>
      <c r="L35" s="529">
        <f>L34*L38</f>
        <v>9471.5069903999993</v>
      </c>
      <c r="M35" s="529"/>
      <c r="N35" s="529">
        <f>N32</f>
        <v>37020.538099999998</v>
      </c>
      <c r="O35" s="529"/>
      <c r="P35" s="529">
        <f>P34*P38</f>
        <v>13356.8663774</v>
      </c>
      <c r="Q35" s="529"/>
      <c r="R35" s="529"/>
      <c r="S35" s="528"/>
      <c r="T35" s="529">
        <f>SUM(C35:P35)</f>
        <v>358659.23544140003</v>
      </c>
      <c r="U35" s="530"/>
      <c r="V35" s="506"/>
      <c r="X35" s="538"/>
      <c r="Z35" s="538"/>
    </row>
    <row r="36" spans="1:26" s="507" customFormat="1" x14ac:dyDescent="0.35">
      <c r="A36" s="524"/>
      <c r="B36" s="526" t="s">
        <v>298</v>
      </c>
      <c r="C36" s="531"/>
      <c r="D36" s="535">
        <f>D37*D34</f>
        <v>17474.2909248</v>
      </c>
      <c r="E36" s="531"/>
      <c r="F36" s="535">
        <f>F37*F34</f>
        <v>105000</v>
      </c>
      <c r="G36" s="535"/>
      <c r="H36" s="535">
        <f>H37*H34</f>
        <v>150000</v>
      </c>
      <c r="I36" s="535"/>
      <c r="J36" s="535">
        <f>J37*J34</f>
        <v>21957.690599999998</v>
      </c>
      <c r="K36" s="535"/>
      <c r="L36" s="535">
        <f>L37*L34</f>
        <v>9332.7268175999998</v>
      </c>
      <c r="M36" s="535"/>
      <c r="N36" s="535">
        <f>N37*N34</f>
        <v>36478.098899999997</v>
      </c>
      <c r="O36" s="535"/>
      <c r="P36" s="535">
        <f>P34*P37</f>
        <v>13161.156420599998</v>
      </c>
      <c r="Q36" s="539"/>
      <c r="R36" s="539"/>
      <c r="S36" s="528"/>
      <c r="T36" s="535">
        <f>SUM(C36:P36)</f>
        <v>353403.96366299997</v>
      </c>
      <c r="U36" s="530"/>
      <c r="V36" s="506"/>
      <c r="X36" s="538"/>
      <c r="Z36" s="538"/>
    </row>
    <row r="37" spans="1:26" s="491" customFormat="1" x14ac:dyDescent="0.35">
      <c r="A37" s="492"/>
      <c r="B37" s="479" t="s">
        <v>137</v>
      </c>
      <c r="C37" s="493"/>
      <c r="D37" s="494">
        <v>2.76888E-2</v>
      </c>
      <c r="E37" s="495"/>
      <c r="F37" s="494">
        <v>1</v>
      </c>
      <c r="G37" s="494"/>
      <c r="H37" s="494">
        <v>1</v>
      </c>
      <c r="I37" s="494"/>
      <c r="J37" s="494">
        <v>0.70831259999999996</v>
      </c>
      <c r="K37" s="494"/>
      <c r="L37" s="494">
        <v>0.70831259999999996</v>
      </c>
      <c r="M37" s="494"/>
      <c r="N37" s="494">
        <v>0.70831259999999996</v>
      </c>
      <c r="O37" s="494"/>
      <c r="P37" s="494">
        <v>0.70831259999999996</v>
      </c>
      <c r="Q37" s="496"/>
      <c r="R37" s="496"/>
      <c r="S37" s="493"/>
      <c r="T37" s="493"/>
      <c r="U37" s="497"/>
      <c r="V37" s="490"/>
    </row>
    <row r="38" spans="1:26" s="491" customFormat="1" x14ac:dyDescent="0.35">
      <c r="A38" s="492"/>
      <c r="B38" s="479" t="s">
        <v>138</v>
      </c>
      <c r="C38" s="493"/>
      <c r="D38" s="494">
        <v>3.4109100000000003E-2</v>
      </c>
      <c r="E38" s="495"/>
      <c r="F38" s="494">
        <v>1</v>
      </c>
      <c r="G38" s="494"/>
      <c r="H38" s="494">
        <v>1</v>
      </c>
      <c r="I38" s="494"/>
      <c r="J38" s="494">
        <v>0.71884539999999997</v>
      </c>
      <c r="K38" s="494"/>
      <c r="L38" s="494">
        <v>0.71884539999999997</v>
      </c>
      <c r="M38" s="494"/>
      <c r="N38" s="494">
        <v>0.71884539999999997</v>
      </c>
      <c r="O38" s="494"/>
      <c r="P38" s="494">
        <v>0.71884539999999997</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6.0619000000000003E-3</v>
      </c>
      <c r="E40" s="521"/>
      <c r="F40" s="541">
        <v>8.3619000000000002E-3</v>
      </c>
      <c r="G40" s="540"/>
      <c r="H40" s="541">
        <v>0</v>
      </c>
      <c r="I40" s="540"/>
      <c r="J40" s="541">
        <v>1.0561900000000001E-2</v>
      </c>
      <c r="K40" s="540"/>
      <c r="L40" s="541">
        <v>2.1099999999999999E-3</v>
      </c>
      <c r="M40" s="540"/>
      <c r="N40" s="541">
        <v>1.61619E-2</v>
      </c>
      <c r="O40" s="540"/>
      <c r="P40" s="541">
        <v>7.7099999999999998E-3</v>
      </c>
      <c r="Q40" s="540"/>
      <c r="R40" s="541"/>
      <c r="S40" s="521"/>
      <c r="T40" s="527"/>
      <c r="U40" s="523"/>
      <c r="V40" s="506"/>
    </row>
    <row r="41" spans="1:26" s="507" customFormat="1" x14ac:dyDescent="0.35">
      <c r="A41" s="520"/>
      <c r="B41" s="521" t="s">
        <v>13</v>
      </c>
      <c r="C41" s="521"/>
      <c r="D41" s="541">
        <v>4.1688000000000003E-3</v>
      </c>
      <c r="E41" s="521"/>
      <c r="F41" s="541">
        <v>6.4688000000000002E-3</v>
      </c>
      <c r="G41" s="540"/>
      <c r="H41" s="541">
        <v>0</v>
      </c>
      <c r="I41" s="540"/>
      <c r="J41" s="541">
        <v>8.6688000000000008E-3</v>
      </c>
      <c r="K41" s="540"/>
      <c r="L41" s="541">
        <v>2.1099999999999999E-3</v>
      </c>
      <c r="M41" s="540"/>
      <c r="N41" s="541">
        <v>1.42688E-2</v>
      </c>
      <c r="O41" s="540"/>
      <c r="P41" s="541">
        <v>7.7099999999999998E-3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6.0619000000000003E-3</v>
      </c>
      <c r="E43" s="521"/>
      <c r="F43" s="541">
        <f>+F40</f>
        <v>8.3619000000000002E-3</v>
      </c>
      <c r="G43" s="540"/>
      <c r="H43" s="541">
        <v>8.8118999999999992E-3</v>
      </c>
      <c r="I43" s="540"/>
      <c r="J43" s="541">
        <f>+J40</f>
        <v>1.0561900000000001E-2</v>
      </c>
      <c r="K43" s="540"/>
      <c r="L43" s="541">
        <v>1.1291900000000001E-2</v>
      </c>
      <c r="M43" s="540"/>
      <c r="N43" s="541">
        <f>+N40</f>
        <v>1.61619E-2</v>
      </c>
      <c r="O43" s="540"/>
      <c r="P43" s="541">
        <v>1.7391899999999998E-2</v>
      </c>
      <c r="Q43" s="527"/>
      <c r="R43" s="527"/>
      <c r="S43" s="521"/>
      <c r="T43" s="540">
        <f>SUMPRODUCT(D43:P43,D35:P35)/T35</f>
        <v>9.7675222575450242E-3</v>
      </c>
      <c r="U43" s="523"/>
      <c r="V43" s="506"/>
    </row>
    <row r="44" spans="1:26" s="507" customFormat="1" x14ac:dyDescent="0.35">
      <c r="A44" s="520"/>
      <c r="B44" s="521" t="s">
        <v>301</v>
      </c>
      <c r="C44" s="542"/>
      <c r="D44" s="541">
        <f>+D41</f>
        <v>4.1688000000000003E-3</v>
      </c>
      <c r="E44" s="521"/>
      <c r="F44" s="541">
        <f>+F41</f>
        <v>6.4688000000000002E-3</v>
      </c>
      <c r="G44" s="540"/>
      <c r="H44" s="541">
        <v>6.9188000000000001E-3</v>
      </c>
      <c r="I44" s="540"/>
      <c r="J44" s="541">
        <f>+J41</f>
        <v>8.6688000000000008E-3</v>
      </c>
      <c r="K44" s="540"/>
      <c r="L44" s="541">
        <v>9.3988000000000006E-3</v>
      </c>
      <c r="M44" s="540"/>
      <c r="N44" s="541">
        <f>+N41</f>
        <v>1.42688E-2</v>
      </c>
      <c r="O44" s="540"/>
      <c r="P44" s="541">
        <v>1.54988E-2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0.29701764692557997</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43174</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91</v>
      </c>
      <c r="Q56" s="521"/>
      <c r="R56" s="551">
        <v>42993</v>
      </c>
      <c r="S56" s="552"/>
      <c r="T56" s="551">
        <v>43083</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90</v>
      </c>
      <c r="Q57" s="521"/>
      <c r="R57" s="551">
        <v>43084</v>
      </c>
      <c r="S57" s="552"/>
      <c r="T57" s="551">
        <v>43173</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43160</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366</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358659</v>
      </c>
      <c r="M67" s="564"/>
      <c r="N67" s="564">
        <f>5255</f>
        <v>5255</v>
      </c>
      <c r="O67" s="564"/>
      <c r="P67" s="564">
        <v>0</v>
      </c>
      <c r="Q67" s="564"/>
      <c r="R67" s="564">
        <v>0</v>
      </c>
      <c r="S67" s="564"/>
      <c r="T67" s="565">
        <f>+L67-N67+P67-R67</f>
        <v>353404</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358659</v>
      </c>
      <c r="M70" s="564"/>
      <c r="N70" s="564">
        <f>SUM(N67:N69)</f>
        <v>5255</v>
      </c>
      <c r="O70" s="564"/>
      <c r="P70" s="564">
        <f>SUM(P67:P69)</f>
        <v>0</v>
      </c>
      <c r="Q70" s="564"/>
      <c r="R70" s="564">
        <f>SUM(R67:R69)</f>
        <v>0</v>
      </c>
      <c r="S70" s="564"/>
      <c r="T70" s="564">
        <f>SUM(T67:T69)</f>
        <v>353404</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358659</v>
      </c>
      <c r="M83" s="564"/>
      <c r="N83" s="564"/>
      <c r="O83" s="564"/>
      <c r="P83" s="564"/>
      <c r="Q83" s="564"/>
      <c r="R83" s="564"/>
      <c r="S83" s="564"/>
      <c r="T83" s="564">
        <f>SUM(T70:T82)</f>
        <v>353404</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43159</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5255-110</f>
        <v>5145</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1642+1044-323-364</f>
        <v>1999</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85+21</f>
        <v>106</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19</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129</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5145</v>
      </c>
      <c r="S95" s="521"/>
      <c r="T95" s="564">
        <f>SUM(T87:T94)</f>
        <v>2253</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39</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5145</v>
      </c>
      <c r="S99" s="521"/>
      <c r="T99" s="564">
        <f>T95+T97+T96+T98</f>
        <v>2292</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-136-111-5</f>
        <v>-252</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-32-216</f>
        <v>-248</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-326</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-26</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-58</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-57</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-148</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-11</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110</v>
      </c>
      <c r="S114" s="521"/>
      <c r="T114" s="565">
        <v>-110</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-136</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-918</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0</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0</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-4052</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-326</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-139</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-542</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-196</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-5255</v>
      </c>
      <c r="S131" s="564"/>
      <c r="T131" s="564">
        <f>SUM(T100:T129)</f>
        <v>-2292</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FEBRUARY 2018</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110</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110</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-110</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v>0</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353404</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353404</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+'Nov 17'!Q182</f>
        <v>46744</v>
      </c>
      <c r="R180" s="565">
        <f>+'Nov 17'!R182</f>
        <v>5995</v>
      </c>
      <c r="S180" s="521"/>
      <c r="T180" s="565">
        <f>Q180+R180</f>
        <v>52739</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v>0</v>
      </c>
      <c r="R181" s="564">
        <v>0</v>
      </c>
      <c r="S181" s="521"/>
      <c r="T181" s="565">
        <f>Q181+R181</f>
        <v>0</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46744</v>
      </c>
      <c r="R182" s="565">
        <f>R181+R180</f>
        <v>5995</v>
      </c>
      <c r="S182" s="521"/>
      <c r="T182" s="565">
        <f>Q182+R182</f>
        <v>52739</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107317.48000000001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3.5505226480836236</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1.78</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17.428571428571427</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9.7200000000000006</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6.7317073170731705</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4.66</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FEBRUARY 2018</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43159</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2.2749999999999999E-2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9.7675222575450242E-3</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1.2982477742454975E-2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6.3904711717815525E-3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10</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1.4651800177884844E-2</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8.5900000000000004E-2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2</v>
      </c>
      <c r="R215" s="624">
        <v>139</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60</v>
      </c>
      <c r="R216" s="580">
        <f>+R268</f>
        <v>9562</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110</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'Nov 17'!R222+R221</f>
        <v>7183</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3</v>
      </c>
      <c r="R228" s="580">
        <v>256</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3.47</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2656</v>
      </c>
      <c r="Q235" s="589">
        <f t="shared" ref="Q235:Q242" si="2">P235/$P$244</f>
        <v>0.99812100714017282</v>
      </c>
      <c r="R235" s="594">
        <f t="shared" ref="R235:R242" si="3">+R247+R259+R271</f>
        <v>352521</v>
      </c>
      <c r="S235" s="589">
        <f t="shared" ref="S235:S242" si="4">R235/$R$244</f>
        <v>0.99750144310760491</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3</v>
      </c>
      <c r="Q236" s="587">
        <f t="shared" si="2"/>
        <v>1.1273957158962795E-3</v>
      </c>
      <c r="R236" s="565">
        <f t="shared" si="3"/>
        <v>727</v>
      </c>
      <c r="S236" s="587">
        <f t="shared" si="4"/>
        <v>2.0571357426627883E-3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1</v>
      </c>
      <c r="Q237" s="587">
        <f t="shared" si="2"/>
        <v>3.7579857196542651E-4</v>
      </c>
      <c r="R237" s="565">
        <f t="shared" si="3"/>
        <v>65</v>
      </c>
      <c r="S237" s="587">
        <f t="shared" si="4"/>
        <v>1.8392547905513238E-4</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0</v>
      </c>
      <c r="Q238" s="587">
        <f t="shared" si="2"/>
        <v>0</v>
      </c>
      <c r="R238" s="565">
        <f t="shared" si="3"/>
        <v>0</v>
      </c>
      <c r="S238" s="587">
        <f t="shared" si="4"/>
        <v>0</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0</v>
      </c>
      <c r="Q239" s="587">
        <f t="shared" si="2"/>
        <v>0</v>
      </c>
      <c r="R239" s="565">
        <f t="shared" si="3"/>
        <v>0</v>
      </c>
      <c r="S239" s="587">
        <f t="shared" si="4"/>
        <v>0</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1</v>
      </c>
      <c r="Q240" s="587">
        <f t="shared" si="2"/>
        <v>3.7579857196542651E-4</v>
      </c>
      <c r="R240" s="565">
        <f t="shared" si="3"/>
        <v>91</v>
      </c>
      <c r="S240" s="587">
        <f t="shared" si="4"/>
        <v>2.5749567067718534E-4</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0</v>
      </c>
      <c r="Q241" s="587">
        <f t="shared" si="2"/>
        <v>0</v>
      </c>
      <c r="R241" s="565">
        <f t="shared" si="3"/>
        <v>0</v>
      </c>
      <c r="S241" s="587">
        <f t="shared" si="4"/>
        <v>0</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9">
        <f t="shared" si="4"/>
        <v>0</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2661</v>
      </c>
      <c r="Q244" s="587">
        <f>SUM(Q235:Q243)</f>
        <v>1</v>
      </c>
      <c r="R244" s="565">
        <f>SUM(R235:R243)</f>
        <v>353404</v>
      </c>
      <c r="S244" s="587">
        <f>SUM(S235:S243)</f>
        <v>1</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2597</v>
      </c>
      <c r="Q247" s="632">
        <f t="shared" ref="Q247:Q254" si="5">P247/$P$256</f>
        <v>0.99846212995001926</v>
      </c>
      <c r="R247" s="594">
        <v>343050</v>
      </c>
      <c r="S247" s="632">
        <f t="shared" ref="S247:S254" si="6">R247/$R$256</f>
        <v>0.99769661646919228</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3</v>
      </c>
      <c r="Q248" s="587">
        <f t="shared" si="5"/>
        <v>1.1534025374855825E-3</v>
      </c>
      <c r="R248" s="565">
        <v>727</v>
      </c>
      <c r="S248" s="587">
        <f t="shared" si="6"/>
        <v>2.1143432157793404E-3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1</v>
      </c>
      <c r="Q249" s="587">
        <f t="shared" si="5"/>
        <v>3.8446751249519417E-4</v>
      </c>
      <c r="R249" s="565">
        <v>65</v>
      </c>
      <c r="S249" s="587">
        <f t="shared" si="6"/>
        <v>1.8904031502841421E-4</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2601</v>
      </c>
      <c r="Q256" s="587">
        <f>SUM(Q247:Q255)</f>
        <v>1</v>
      </c>
      <c r="R256" s="565">
        <f>SUM(R247:R255)</f>
        <v>343842</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59</v>
      </c>
      <c r="Q259" s="632">
        <f t="shared" ref="Q259:Q266" si="7">P259/$P$268</f>
        <v>0.98333333333333328</v>
      </c>
      <c r="R259" s="594">
        <v>9471</v>
      </c>
      <c r="S259" s="632">
        <f t="shared" ref="S259:S266" si="8">R259/$R$268</f>
        <v>0.9904831625183016</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0</v>
      </c>
      <c r="Q260" s="587">
        <f t="shared" si="7"/>
        <v>0</v>
      </c>
      <c r="R260" s="565">
        <v>0</v>
      </c>
      <c r="S260" s="587">
        <f t="shared" si="8"/>
        <v>0</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0</v>
      </c>
      <c r="Q261" s="587">
        <f t="shared" si="7"/>
        <v>0</v>
      </c>
      <c r="R261" s="565">
        <v>0</v>
      </c>
      <c r="S261" s="587">
        <f t="shared" si="8"/>
        <v>0</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0</v>
      </c>
      <c r="Q262" s="587">
        <f t="shared" si="7"/>
        <v>0</v>
      </c>
      <c r="R262" s="565">
        <v>0</v>
      </c>
      <c r="S262" s="587">
        <f t="shared" si="8"/>
        <v>0</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0</v>
      </c>
      <c r="Q263" s="587">
        <f t="shared" si="7"/>
        <v>0</v>
      </c>
      <c r="R263" s="565">
        <v>0</v>
      </c>
      <c r="S263" s="587">
        <f t="shared" si="8"/>
        <v>0</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1</v>
      </c>
      <c r="Q264" s="587">
        <f t="shared" si="7"/>
        <v>1.6666666666666666E-2</v>
      </c>
      <c r="R264" s="565">
        <v>91</v>
      </c>
      <c r="S264" s="587">
        <f t="shared" si="8"/>
        <v>9.5168374816983897E-3</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0</v>
      </c>
      <c r="Q265" s="587">
        <f t="shared" si="7"/>
        <v>0</v>
      </c>
      <c r="R265" s="565">
        <v>0</v>
      </c>
      <c r="S265" s="587">
        <f t="shared" si="8"/>
        <v>0</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60</v>
      </c>
      <c r="Q268" s="587">
        <f>SUM(Q259:Q267)</f>
        <v>1</v>
      </c>
      <c r="R268" s="565">
        <f>SUM(R259:R267)</f>
        <v>9562</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2661</v>
      </c>
      <c r="Q282" s="587"/>
      <c r="R282" s="592">
        <f>+R280+R268+R256</f>
        <v>353404</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FEBRUARY 2018</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3000-000000000000}"/>
    <hyperlink ref="N232" r:id="rId2" xr:uid="{00000000-0004-0000-3000-000001000000}"/>
    <hyperlink ref="P294" r:id="rId3" xr:uid="{00000000-0004-0000-30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2D2926"/>
  </sheetPr>
  <dimension ref="A1:W280"/>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0.49109999999999998</v>
      </c>
      <c r="R16" s="17" t="s">
        <v>147</v>
      </c>
      <c r="S16" s="138">
        <v>0.50890000000000002</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39163</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v>994276</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966336.8</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570439.47015199997</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939696.47015199997</v>
      </c>
      <c r="U35" s="34"/>
      <c r="V35" s="5"/>
    </row>
    <row r="36" spans="1:22" x14ac:dyDescent="0.35">
      <c r="A36" s="28"/>
      <c r="B36" s="29" t="s">
        <v>298</v>
      </c>
      <c r="C36" s="126"/>
      <c r="D36" s="35">
        <f>D37*D34</f>
        <v>554410.26284800004</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923667.26284800004</v>
      </c>
      <c r="U36" s="34"/>
      <c r="V36" s="5"/>
    </row>
    <row r="37" spans="1:22" x14ac:dyDescent="0.35">
      <c r="A37" s="24"/>
      <c r="B37" s="122" t="s">
        <v>137</v>
      </c>
      <c r="C37" s="25"/>
      <c r="D37" s="136">
        <v>0.87848800000000005</v>
      </c>
      <c r="E37" s="137"/>
      <c r="F37" s="136">
        <v>1</v>
      </c>
      <c r="G37" s="136"/>
      <c r="H37" s="136">
        <v>1</v>
      </c>
      <c r="I37" s="136"/>
      <c r="J37" s="136">
        <v>1</v>
      </c>
      <c r="K37" s="136"/>
      <c r="L37" s="136">
        <v>1</v>
      </c>
      <c r="M37" s="136"/>
      <c r="N37" s="136">
        <v>1</v>
      </c>
      <c r="O37" s="136"/>
      <c r="P37" s="136">
        <v>1</v>
      </c>
      <c r="Q37" s="30"/>
      <c r="R37" s="30"/>
      <c r="S37" s="164"/>
      <c r="T37" s="164"/>
      <c r="U37" s="25"/>
      <c r="V37" s="5"/>
    </row>
    <row r="38" spans="1:22" x14ac:dyDescent="0.35">
      <c r="A38" s="24"/>
      <c r="B38" s="122" t="s">
        <v>138</v>
      </c>
      <c r="C38" s="25"/>
      <c r="D38" s="136">
        <v>0.903887</v>
      </c>
      <c r="E38" s="137"/>
      <c r="F38" s="136">
        <v>1</v>
      </c>
      <c r="G38" s="136"/>
      <c r="H38" s="136">
        <v>1</v>
      </c>
      <c r="I38" s="136"/>
      <c r="J38" s="136">
        <v>1</v>
      </c>
      <c r="K38" s="136"/>
      <c r="L38" s="136">
        <v>1</v>
      </c>
      <c r="M38" s="136"/>
      <c r="N38" s="136">
        <v>1</v>
      </c>
      <c r="O38" s="136"/>
      <c r="P38" s="136">
        <v>1</v>
      </c>
      <c r="Q38" s="39"/>
      <c r="R38" s="38"/>
      <c r="S38" s="164"/>
      <c r="T38" s="39"/>
      <c r="U38" s="25"/>
      <c r="V38" s="5"/>
    </row>
    <row r="39" spans="1:22" x14ac:dyDescent="0.35">
      <c r="A39" s="24"/>
      <c r="B39" s="25" t="s">
        <v>11</v>
      </c>
      <c r="C39" s="25"/>
      <c r="D39" s="30" t="s">
        <v>270</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5.2999999999999999E-2</v>
      </c>
      <c r="E40" s="25"/>
      <c r="F40" s="38">
        <v>5.4556300000000002E-2</v>
      </c>
      <c r="G40" s="39"/>
      <c r="H40" s="38">
        <v>3.8339999999999999E-2</v>
      </c>
      <c r="I40" s="39"/>
      <c r="J40" s="38">
        <v>5.5656299999999999E-2</v>
      </c>
      <c r="K40" s="39"/>
      <c r="L40" s="38">
        <v>3.9440000000000003E-2</v>
      </c>
      <c r="M40" s="39"/>
      <c r="N40" s="38">
        <v>5.8456300000000003E-2</v>
      </c>
      <c r="O40" s="39"/>
      <c r="P40" s="38">
        <v>4.224E-2</v>
      </c>
      <c r="Q40" s="39"/>
      <c r="R40" s="38"/>
      <c r="S40" s="164"/>
      <c r="T40" s="30"/>
      <c r="U40" s="25"/>
      <c r="V40" s="5"/>
    </row>
    <row r="41" spans="1:22" x14ac:dyDescent="0.35">
      <c r="A41" s="24"/>
      <c r="B41" s="25" t="s">
        <v>13</v>
      </c>
      <c r="C41" s="25"/>
      <c r="D41" s="38">
        <v>5.2999999999999999E-2</v>
      </c>
      <c r="E41" s="25"/>
      <c r="F41" s="38">
        <v>5.1950000000000003E-2</v>
      </c>
      <c r="G41" s="39"/>
      <c r="H41" s="38">
        <v>3.4810000000000001E-2</v>
      </c>
      <c r="I41" s="39"/>
      <c r="J41" s="38">
        <v>5.305E-2</v>
      </c>
      <c r="K41" s="39"/>
      <c r="L41" s="38">
        <v>3.5909999999999997E-2</v>
      </c>
      <c r="M41" s="39"/>
      <c r="N41" s="38">
        <v>5.5849999999999997E-2</v>
      </c>
      <c r="O41" s="39"/>
      <c r="P41" s="38">
        <v>3.8710000000000001E-2</v>
      </c>
      <c r="Q41" s="39"/>
      <c r="R41" s="38"/>
      <c r="S41" s="164"/>
      <c r="T41" s="39" t="s">
        <v>226</v>
      </c>
      <c r="U41" s="25"/>
      <c r="V41" s="5"/>
    </row>
    <row r="42" spans="1:22" x14ac:dyDescent="0.35">
      <c r="A42" s="24"/>
      <c r="B42" s="25" t="s">
        <v>299</v>
      </c>
      <c r="C42" s="25"/>
      <c r="D42" s="30" t="s">
        <v>237</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5.2996500000000002E-2</v>
      </c>
      <c r="E43" s="25"/>
      <c r="F43" s="38">
        <f>+F40</f>
        <v>5.4556300000000002E-2</v>
      </c>
      <c r="G43" s="39"/>
      <c r="H43" s="38">
        <v>5.4781299999999998E-2</v>
      </c>
      <c r="I43" s="39"/>
      <c r="J43" s="38">
        <f>+J40</f>
        <v>5.5656299999999999E-2</v>
      </c>
      <c r="K43" s="39"/>
      <c r="L43" s="38">
        <v>5.6021300000000003E-2</v>
      </c>
      <c r="M43" s="39"/>
      <c r="N43" s="38">
        <f>+N40</f>
        <v>5.8456300000000003E-2</v>
      </c>
      <c r="O43" s="39"/>
      <c r="P43" s="38">
        <v>5.90713E-2</v>
      </c>
      <c r="Q43" s="30"/>
      <c r="R43" s="30"/>
      <c r="S43" s="164"/>
      <c r="T43" s="39">
        <f>SUMPRODUCT(D43:P43,D35:P35)/T35</f>
        <v>5.4005190735474065E-2</v>
      </c>
      <c r="U43" s="25"/>
      <c r="V43" s="5"/>
    </row>
    <row r="44" spans="1:22" x14ac:dyDescent="0.35">
      <c r="A44" s="24"/>
      <c r="B44" s="25" t="s">
        <v>301</v>
      </c>
      <c r="C44" s="110"/>
      <c r="D44" s="38">
        <v>5.0390200000000003E-2</v>
      </c>
      <c r="E44" s="25"/>
      <c r="F44" s="38">
        <f>+F41</f>
        <v>5.1950000000000003E-2</v>
      </c>
      <c r="G44" s="39"/>
      <c r="H44" s="38">
        <v>5.2174999999999999E-2</v>
      </c>
      <c r="I44" s="39"/>
      <c r="J44" s="38">
        <f>+J41</f>
        <v>5.305E-2</v>
      </c>
      <c r="K44" s="39"/>
      <c r="L44" s="38">
        <v>5.3414999999999997E-2</v>
      </c>
      <c r="M44" s="39"/>
      <c r="N44" s="38">
        <f>+N41</f>
        <v>5.5849999999999997E-2</v>
      </c>
      <c r="O44" s="39"/>
      <c r="P44" s="38">
        <v>5.6465000000000001E-2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0.1411607997135767</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39156</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38975</v>
      </c>
      <c r="S57" s="46"/>
      <c r="T57" s="45">
        <v>39065</v>
      </c>
      <c r="U57" s="25"/>
      <c r="V57" s="5"/>
    </row>
    <row r="58" spans="1:23" x14ac:dyDescent="0.35">
      <c r="A58" s="24"/>
      <c r="B58" s="25" t="s">
        <v>129</v>
      </c>
      <c r="C58" s="25"/>
      <c r="D58" s="25"/>
      <c r="E58" s="25"/>
      <c r="F58" s="25"/>
      <c r="G58" s="25"/>
      <c r="H58" s="25"/>
      <c r="I58" s="25"/>
      <c r="J58" s="25"/>
      <c r="K58" s="25"/>
      <c r="L58" s="25"/>
      <c r="M58" s="25"/>
      <c r="N58" s="25"/>
      <c r="O58" s="25"/>
      <c r="P58" s="25">
        <f>+T58-R58+1</f>
        <v>90</v>
      </c>
      <c r="Q58" s="25"/>
      <c r="R58" s="45">
        <v>39066</v>
      </c>
      <c r="S58" s="46"/>
      <c r="T58" s="45">
        <v>39155</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39142</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272</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939695</v>
      </c>
      <c r="M69" s="34"/>
      <c r="N69" s="34">
        <f>16029+4132+750</f>
        <v>20911</v>
      </c>
      <c r="O69" s="34"/>
      <c r="P69" s="34">
        <f>4132+750+1</f>
        <v>4883</v>
      </c>
      <c r="Q69" s="34"/>
      <c r="R69" s="34">
        <v>0</v>
      </c>
      <c r="S69" s="34"/>
      <c r="T69" s="53">
        <f>+L69-N69+P69-R69</f>
        <v>923667</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939695</v>
      </c>
      <c r="M72" s="34"/>
      <c r="N72" s="34">
        <f>SUM(N69:N71)</f>
        <v>20911</v>
      </c>
      <c r="O72" s="34"/>
      <c r="P72" s="34">
        <f>SUM(P69:P71)</f>
        <v>4883</v>
      </c>
      <c r="Q72" s="34"/>
      <c r="R72" s="34">
        <f>SUM(R69:R71)</f>
        <v>0</v>
      </c>
      <c r="S72" s="34"/>
      <c r="T72" s="54">
        <f>SUM(T69:T71)</f>
        <v>923667</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939695</v>
      </c>
      <c r="M85" s="34"/>
      <c r="N85" s="34"/>
      <c r="O85" s="34"/>
      <c r="P85" s="34"/>
      <c r="Q85" s="34"/>
      <c r="R85" s="54"/>
      <c r="S85" s="34"/>
      <c r="T85" s="54">
        <f>SUM(T72:T84)</f>
        <v>923667</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+R196</f>
        <v>39141</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20910</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7062+6444-486-365</f>
        <v>12655</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196+265</f>
        <v>461</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352</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1251</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1323</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20910</v>
      </c>
      <c r="S97" s="25"/>
      <c r="T97" s="54">
        <f>SUM(T89:T96)</f>
        <v>16042</v>
      </c>
      <c r="U97" s="25"/>
      <c r="V97" s="5"/>
    </row>
    <row r="98" spans="1:23" x14ac:dyDescent="0.35">
      <c r="A98" s="24"/>
      <c r="B98" s="25" t="s">
        <v>170</v>
      </c>
      <c r="C98" s="25"/>
      <c r="D98" s="25"/>
      <c r="E98" s="25"/>
      <c r="F98" s="25"/>
      <c r="G98" s="25"/>
      <c r="H98" s="25"/>
      <c r="I98" s="25"/>
      <c r="J98" s="25"/>
      <c r="K98" s="25"/>
      <c r="L98" s="25"/>
      <c r="M98" s="25"/>
      <c r="N98" s="25"/>
      <c r="O98" s="25"/>
      <c r="P98" s="25"/>
      <c r="Q98" s="25"/>
      <c r="R98" s="34">
        <v>-29</v>
      </c>
      <c r="S98" s="25"/>
      <c r="T98" s="54">
        <v>29</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32</v>
      </c>
      <c r="C100" s="25"/>
      <c r="D100" s="25"/>
      <c r="E100" s="25"/>
      <c r="F100" s="25"/>
      <c r="G100" s="25"/>
      <c r="H100" s="25"/>
      <c r="I100" s="25"/>
      <c r="J100" s="25"/>
      <c r="K100" s="25"/>
      <c r="L100" s="25"/>
      <c r="M100" s="25"/>
      <c r="N100" s="25"/>
      <c r="O100" s="25"/>
      <c r="P100" s="25"/>
      <c r="Q100" s="25"/>
      <c r="R100" s="34">
        <f>R97+R99+R98</f>
        <v>20881</v>
      </c>
      <c r="S100" s="25"/>
      <c r="T100" s="54">
        <f>T97+T99+T98</f>
        <v>16071</v>
      </c>
      <c r="U100" s="25"/>
      <c r="V100" s="5"/>
    </row>
    <row r="101" spans="1:23" x14ac:dyDescent="0.35">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3" x14ac:dyDescent="0.35">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3" x14ac:dyDescent="0.35">
      <c r="A103" s="24">
        <f>+A102+1</f>
        <v>2</v>
      </c>
      <c r="B103" s="25" t="s">
        <v>35</v>
      </c>
      <c r="C103" s="25"/>
      <c r="D103" s="25"/>
      <c r="E103" s="25"/>
      <c r="F103" s="25"/>
      <c r="G103" s="25"/>
      <c r="H103" s="25"/>
      <c r="I103" s="25"/>
      <c r="J103" s="25"/>
      <c r="K103" s="25"/>
      <c r="L103" s="25"/>
      <c r="M103" s="25"/>
      <c r="N103" s="25"/>
      <c r="O103" s="25"/>
      <c r="P103" s="25"/>
      <c r="Q103" s="25"/>
      <c r="R103" s="25"/>
      <c r="S103" s="25"/>
      <c r="T103" s="53">
        <v>-2</v>
      </c>
      <c r="U103" s="25"/>
      <c r="V103" s="5"/>
    </row>
    <row r="104" spans="1:23" x14ac:dyDescent="0.35">
      <c r="A104" s="24">
        <f>+A103+1</f>
        <v>3</v>
      </c>
      <c r="B104" s="25" t="s">
        <v>246</v>
      </c>
      <c r="C104" s="25"/>
      <c r="D104" s="25"/>
      <c r="E104" s="25"/>
      <c r="F104" s="25"/>
      <c r="G104" s="25"/>
      <c r="H104" s="25"/>
      <c r="I104" s="25"/>
      <c r="J104" s="25"/>
      <c r="K104" s="25"/>
      <c r="L104" s="25"/>
      <c r="M104" s="25"/>
      <c r="N104" s="25"/>
      <c r="O104" s="25"/>
      <c r="P104" s="25"/>
      <c r="Q104" s="25"/>
      <c r="R104" s="25"/>
      <c r="S104" s="25"/>
      <c r="T104" s="53">
        <f>-348-4-12</f>
        <v>-364</v>
      </c>
      <c r="U104" s="25"/>
      <c r="V104" s="5"/>
    </row>
    <row r="105" spans="1:23" x14ac:dyDescent="0.35">
      <c r="A105" s="24" t="s">
        <v>134</v>
      </c>
      <c r="B105" s="25" t="s">
        <v>123</v>
      </c>
      <c r="C105" s="25"/>
      <c r="D105" s="25"/>
      <c r="E105" s="25"/>
      <c r="F105" s="25"/>
      <c r="G105" s="25"/>
      <c r="H105" s="25"/>
      <c r="I105" s="25"/>
      <c r="J105" s="25"/>
      <c r="K105" s="25"/>
      <c r="L105" s="25"/>
      <c r="M105" s="25"/>
      <c r="N105" s="25"/>
      <c r="O105" s="25"/>
      <c r="P105" s="25"/>
      <c r="Q105" s="25"/>
      <c r="R105" s="25"/>
      <c r="S105" s="25"/>
      <c r="T105" s="53">
        <v>0</v>
      </c>
      <c r="U105" s="25"/>
      <c r="V105" s="5"/>
    </row>
    <row r="106" spans="1:23" x14ac:dyDescent="0.35">
      <c r="A106" s="24" t="s">
        <v>135</v>
      </c>
      <c r="B106" s="25" t="s">
        <v>169</v>
      </c>
      <c r="C106" s="25"/>
      <c r="D106" s="25"/>
      <c r="E106" s="25"/>
      <c r="F106" s="25"/>
      <c r="G106" s="25"/>
      <c r="H106" s="25"/>
      <c r="I106" s="25"/>
      <c r="J106" s="25"/>
      <c r="K106" s="25"/>
      <c r="L106" s="25"/>
      <c r="M106" s="25"/>
      <c r="N106" s="25"/>
      <c r="O106" s="25"/>
      <c r="P106" s="25"/>
      <c r="Q106" s="25"/>
      <c r="R106" s="25"/>
      <c r="S106" s="25"/>
      <c r="T106" s="53">
        <v>-1</v>
      </c>
      <c r="U106" s="25"/>
      <c r="V106" s="5"/>
    </row>
    <row r="107" spans="1:23" x14ac:dyDescent="0.35">
      <c r="A107" s="24" t="s">
        <v>157</v>
      </c>
      <c r="B107" s="25" t="s">
        <v>217</v>
      </c>
      <c r="C107" s="25"/>
      <c r="D107" s="25"/>
      <c r="E107" s="25"/>
      <c r="F107" s="25"/>
      <c r="G107" s="25"/>
      <c r="H107" s="25"/>
      <c r="I107" s="25"/>
      <c r="J107" s="25"/>
      <c r="K107" s="25"/>
      <c r="L107" s="25"/>
      <c r="M107" s="25"/>
      <c r="N107" s="25"/>
      <c r="O107" s="25"/>
      <c r="P107" s="25"/>
      <c r="Q107" s="25"/>
      <c r="R107" s="25"/>
      <c r="S107" s="25"/>
      <c r="T107" s="53">
        <f>-7454-2027</f>
        <v>-9481</v>
      </c>
      <c r="U107" s="25"/>
      <c r="V107" s="169"/>
      <c r="W107" s="109"/>
    </row>
    <row r="108" spans="1:23" x14ac:dyDescent="0.35">
      <c r="A108" s="24" t="s">
        <v>158</v>
      </c>
      <c r="B108" s="25" t="s">
        <v>213</v>
      </c>
      <c r="C108" s="25"/>
      <c r="D108" s="25"/>
      <c r="E108" s="25"/>
      <c r="F108" s="25"/>
      <c r="G108" s="25"/>
      <c r="H108" s="25"/>
      <c r="I108" s="25"/>
      <c r="J108" s="25"/>
      <c r="K108" s="25"/>
      <c r="L108" s="25"/>
      <c r="M108" s="25"/>
      <c r="N108" s="25"/>
      <c r="O108" s="25"/>
      <c r="P108" s="25"/>
      <c r="Q108" s="25"/>
      <c r="R108" s="25"/>
      <c r="S108" s="25"/>
      <c r="T108" s="53">
        <v>-1412</v>
      </c>
      <c r="U108" s="25"/>
      <c r="V108" s="5"/>
      <c r="W108" s="109"/>
    </row>
    <row r="109" spans="1:23" x14ac:dyDescent="0.35">
      <c r="A109" s="24" t="s">
        <v>247</v>
      </c>
      <c r="B109" s="25" t="s">
        <v>214</v>
      </c>
      <c r="C109" s="25"/>
      <c r="D109" s="25"/>
      <c r="E109" s="25"/>
      <c r="F109" s="25"/>
      <c r="G109" s="25"/>
      <c r="H109" s="25"/>
      <c r="I109" s="25"/>
      <c r="J109" s="25"/>
      <c r="K109" s="25"/>
      <c r="L109" s="25"/>
      <c r="M109" s="25"/>
      <c r="N109" s="25"/>
      <c r="O109" s="25"/>
      <c r="P109" s="25"/>
      <c r="Q109" s="25"/>
      <c r="R109" s="25"/>
      <c r="S109" s="25"/>
      <c r="T109" s="53">
        <v>-182</v>
      </c>
      <c r="U109" s="25"/>
      <c r="V109" s="5"/>
      <c r="W109" s="109"/>
    </row>
    <row r="110" spans="1:23" x14ac:dyDescent="0.35">
      <c r="A110" s="24" t="s">
        <v>248</v>
      </c>
      <c r="B110" s="25" t="s">
        <v>215</v>
      </c>
      <c r="C110" s="25"/>
      <c r="D110" s="25"/>
      <c r="E110" s="25"/>
      <c r="F110" s="25"/>
      <c r="G110" s="25"/>
      <c r="H110" s="25"/>
      <c r="I110" s="25"/>
      <c r="J110" s="25"/>
      <c r="K110" s="25"/>
      <c r="L110" s="25"/>
      <c r="M110" s="25"/>
      <c r="N110" s="25"/>
      <c r="O110" s="25"/>
      <c r="P110" s="25"/>
      <c r="Q110" s="25"/>
      <c r="R110" s="25"/>
      <c r="S110" s="25"/>
      <c r="T110" s="53">
        <v>-425</v>
      </c>
      <c r="U110" s="25"/>
      <c r="V110" s="5"/>
      <c r="W110" s="109"/>
    </row>
    <row r="111" spans="1:23" x14ac:dyDescent="0.35">
      <c r="A111" s="24" t="s">
        <v>249</v>
      </c>
      <c r="B111" s="25" t="s">
        <v>230</v>
      </c>
      <c r="C111" s="25"/>
      <c r="D111" s="25"/>
      <c r="E111" s="25"/>
      <c r="F111" s="25"/>
      <c r="G111" s="25"/>
      <c r="H111" s="25"/>
      <c r="I111" s="25"/>
      <c r="J111" s="25"/>
      <c r="K111" s="25"/>
      <c r="L111" s="25"/>
      <c r="M111" s="25"/>
      <c r="N111" s="25"/>
      <c r="O111" s="25"/>
      <c r="P111" s="25"/>
      <c r="Q111" s="25"/>
      <c r="R111" s="25"/>
      <c r="S111" s="25"/>
      <c r="T111" s="53">
        <v>-271</v>
      </c>
      <c r="U111" s="25"/>
      <c r="V111" s="5"/>
      <c r="W111" s="109"/>
    </row>
    <row r="112" spans="1:23" x14ac:dyDescent="0.35">
      <c r="A112" s="24" t="s">
        <v>250</v>
      </c>
      <c r="B112" s="25" t="s">
        <v>216</v>
      </c>
      <c r="C112" s="25"/>
      <c r="D112" s="25"/>
      <c r="E112" s="25"/>
      <c r="F112" s="25"/>
      <c r="G112" s="25"/>
      <c r="H112" s="25"/>
      <c r="I112" s="25"/>
      <c r="J112" s="25"/>
      <c r="K112" s="25"/>
      <c r="L112" s="25"/>
      <c r="M112" s="25"/>
      <c r="N112" s="25"/>
      <c r="O112" s="25"/>
      <c r="P112" s="25"/>
      <c r="Q112" s="25"/>
      <c r="R112" s="25"/>
      <c r="S112" s="25"/>
      <c r="T112" s="53">
        <v>-742</v>
      </c>
      <c r="U112" s="25"/>
      <c r="V112" s="5"/>
      <c r="W112" s="109"/>
    </row>
    <row r="113" spans="1:22" x14ac:dyDescent="0.35">
      <c r="A113" s="24">
        <v>7</v>
      </c>
      <c r="B113" s="25" t="s">
        <v>36</v>
      </c>
      <c r="C113" s="25"/>
      <c r="D113" s="25"/>
      <c r="E113" s="25"/>
      <c r="F113" s="25"/>
      <c r="G113" s="25"/>
      <c r="H113" s="25"/>
      <c r="I113" s="25"/>
      <c r="J113" s="25"/>
      <c r="K113" s="25"/>
      <c r="L113" s="25"/>
      <c r="M113" s="25"/>
      <c r="N113" s="25"/>
      <c r="O113" s="25"/>
      <c r="P113" s="25"/>
      <c r="Q113" s="25"/>
      <c r="R113" s="25"/>
      <c r="S113" s="25"/>
      <c r="T113" s="53">
        <v>-13</v>
      </c>
      <c r="U113" s="25"/>
      <c r="V113" s="5"/>
    </row>
    <row r="114" spans="1:22" x14ac:dyDescent="0.35">
      <c r="A114" s="24">
        <f t="shared" ref="A114:A119" si="0">+A113+1</f>
        <v>8</v>
      </c>
      <c r="B114" s="25" t="s">
        <v>47</v>
      </c>
      <c r="C114" s="25"/>
      <c r="D114" s="25"/>
      <c r="E114" s="25"/>
      <c r="F114" s="25"/>
      <c r="G114" s="25"/>
      <c r="H114" s="25"/>
      <c r="I114" s="25"/>
      <c r="J114" s="25"/>
      <c r="K114" s="25"/>
      <c r="L114" s="25"/>
      <c r="M114" s="25"/>
      <c r="N114" s="25"/>
      <c r="O114" s="25"/>
      <c r="P114" s="25"/>
      <c r="Q114" s="25"/>
      <c r="R114" s="34">
        <f>-T114</f>
        <v>1</v>
      </c>
      <c r="S114" s="25"/>
      <c r="T114" s="53">
        <v>-1</v>
      </c>
      <c r="U114" s="25"/>
      <c r="V114" s="5"/>
    </row>
    <row r="115" spans="1:22" x14ac:dyDescent="0.35">
      <c r="A115" s="24">
        <f t="shared" si="0"/>
        <v>9</v>
      </c>
      <c r="B115" s="25" t="s">
        <v>132</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10</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11</v>
      </c>
      <c r="B117" s="25" t="s">
        <v>38</v>
      </c>
      <c r="C117" s="25"/>
      <c r="D117" s="25"/>
      <c r="E117" s="25"/>
      <c r="F117" s="25"/>
      <c r="G117" s="25"/>
      <c r="H117" s="25"/>
      <c r="I117" s="25"/>
      <c r="J117" s="25"/>
      <c r="K117" s="25"/>
      <c r="L117" s="25"/>
      <c r="M117" s="25"/>
      <c r="N117" s="25"/>
      <c r="O117" s="25"/>
      <c r="P117" s="25"/>
      <c r="Q117" s="25"/>
      <c r="R117" s="25"/>
      <c r="S117" s="25"/>
      <c r="T117" s="53">
        <v>0</v>
      </c>
      <c r="U117" s="25"/>
      <c r="V117" s="5"/>
    </row>
    <row r="118" spans="1:22" x14ac:dyDescent="0.35">
      <c r="A118" s="24">
        <f t="shared" si="0"/>
        <v>12</v>
      </c>
      <c r="B118" s="25" t="s">
        <v>156</v>
      </c>
      <c r="C118" s="25"/>
      <c r="D118" s="25"/>
      <c r="E118" s="25"/>
      <c r="F118" s="25"/>
      <c r="G118" s="25"/>
      <c r="H118" s="25"/>
      <c r="I118" s="25"/>
      <c r="J118" s="25"/>
      <c r="K118" s="25"/>
      <c r="L118" s="25"/>
      <c r="M118" s="25"/>
      <c r="N118" s="25"/>
      <c r="O118" s="25"/>
      <c r="P118" s="25"/>
      <c r="Q118" s="25"/>
      <c r="R118" s="25"/>
      <c r="S118" s="25"/>
      <c r="T118" s="53">
        <v>-348</v>
      </c>
      <c r="U118" s="25"/>
      <c r="V118" s="5"/>
    </row>
    <row r="119" spans="1:22" x14ac:dyDescent="0.35">
      <c r="A119" s="24">
        <f t="shared" si="0"/>
        <v>13</v>
      </c>
      <c r="B119" s="25" t="s">
        <v>133</v>
      </c>
      <c r="C119" s="25"/>
      <c r="D119" s="25"/>
      <c r="E119" s="25"/>
      <c r="F119" s="25"/>
      <c r="G119" s="25"/>
      <c r="H119" s="25"/>
      <c r="I119" s="25"/>
      <c r="J119" s="25"/>
      <c r="K119" s="25"/>
      <c r="L119" s="25"/>
      <c r="M119" s="25"/>
      <c r="N119" s="25"/>
      <c r="O119" s="25"/>
      <c r="P119" s="25"/>
      <c r="Q119" s="25"/>
      <c r="R119" s="25"/>
      <c r="S119" s="25"/>
      <c r="T119" s="53">
        <f>-T100-SUM(T102:T118)</f>
        <v>-2829</v>
      </c>
      <c r="U119" s="25"/>
      <c r="V119" s="5"/>
    </row>
    <row r="120" spans="1:22" x14ac:dyDescent="0.35">
      <c r="A120" s="24"/>
      <c r="B120" s="118" t="s">
        <v>39</v>
      </c>
      <c r="C120" s="25"/>
      <c r="D120" s="25"/>
      <c r="E120" s="25"/>
      <c r="F120" s="25"/>
      <c r="G120" s="25"/>
      <c r="H120" s="25"/>
      <c r="I120" s="25"/>
      <c r="J120" s="25"/>
      <c r="K120" s="25"/>
      <c r="L120" s="25"/>
      <c r="M120" s="25"/>
      <c r="N120" s="25"/>
      <c r="O120" s="25"/>
      <c r="P120" s="25"/>
      <c r="Q120" s="25"/>
      <c r="R120" s="25"/>
      <c r="S120" s="25"/>
      <c r="T120" s="59"/>
      <c r="U120" s="25"/>
      <c r="V120" s="5"/>
    </row>
    <row r="121" spans="1:22" x14ac:dyDescent="0.35">
      <c r="A121" s="24"/>
      <c r="B121" s="25" t="s">
        <v>184</v>
      </c>
      <c r="C121" s="25"/>
      <c r="D121" s="25"/>
      <c r="E121" s="25"/>
      <c r="F121" s="25"/>
      <c r="G121" s="25"/>
      <c r="H121" s="25"/>
      <c r="I121" s="25"/>
      <c r="J121" s="25"/>
      <c r="K121" s="25"/>
      <c r="L121" s="25"/>
      <c r="M121" s="25"/>
      <c r="N121" s="25"/>
      <c r="O121" s="25"/>
      <c r="P121" s="25"/>
      <c r="Q121" s="25"/>
      <c r="R121" s="34">
        <f>-R180</f>
        <v>-250</v>
      </c>
      <c r="S121" s="34"/>
      <c r="T121" s="53"/>
      <c r="U121" s="25"/>
      <c r="V121" s="5"/>
    </row>
    <row r="122" spans="1:22" x14ac:dyDescent="0.35">
      <c r="A122" s="24"/>
      <c r="B122" s="25" t="s">
        <v>185</v>
      </c>
      <c r="C122" s="25"/>
      <c r="D122" s="25"/>
      <c r="E122" s="25"/>
      <c r="F122" s="25"/>
      <c r="G122" s="25"/>
      <c r="H122" s="25"/>
      <c r="I122" s="25"/>
      <c r="J122" s="25"/>
      <c r="K122" s="25"/>
      <c r="L122" s="25"/>
      <c r="M122" s="25"/>
      <c r="N122" s="25"/>
      <c r="O122" s="25"/>
      <c r="P122" s="25"/>
      <c r="Q122" s="25"/>
      <c r="R122" s="34">
        <v>-178</v>
      </c>
      <c r="S122" s="34"/>
      <c r="T122" s="53"/>
      <c r="U122" s="25"/>
      <c r="V122" s="5"/>
    </row>
    <row r="123" spans="1:22" x14ac:dyDescent="0.35">
      <c r="A123" s="24"/>
      <c r="B123" s="25" t="s">
        <v>40</v>
      </c>
      <c r="C123" s="25"/>
      <c r="D123" s="25"/>
      <c r="E123" s="25"/>
      <c r="F123" s="25"/>
      <c r="G123" s="25"/>
      <c r="H123" s="25"/>
      <c r="I123" s="25"/>
      <c r="J123" s="25"/>
      <c r="K123" s="25"/>
      <c r="L123" s="25"/>
      <c r="M123" s="25"/>
      <c r="N123" s="25"/>
      <c r="O123" s="25"/>
      <c r="P123" s="25"/>
      <c r="Q123" s="25"/>
      <c r="R123" s="34">
        <f>-Q180</f>
        <v>-4425</v>
      </c>
      <c r="S123" s="34"/>
      <c r="T123" s="53"/>
      <c r="U123" s="25"/>
      <c r="V123" s="5"/>
    </row>
    <row r="124" spans="1:22" x14ac:dyDescent="0.35">
      <c r="A124" s="24"/>
      <c r="B124" s="25" t="s">
        <v>231</v>
      </c>
      <c r="C124" s="25"/>
      <c r="D124" s="25"/>
      <c r="E124" s="25"/>
      <c r="F124" s="25"/>
      <c r="G124" s="25"/>
      <c r="H124" s="25"/>
      <c r="I124" s="25"/>
      <c r="J124" s="25"/>
      <c r="K124" s="25"/>
      <c r="L124" s="25"/>
      <c r="M124" s="25"/>
      <c r="N124" s="25"/>
      <c r="O124" s="25"/>
      <c r="P124" s="25"/>
      <c r="Q124" s="25"/>
      <c r="R124" s="34">
        <v>-16028</v>
      </c>
      <c r="S124" s="34"/>
      <c r="T124" s="53"/>
      <c r="U124" s="25"/>
      <c r="V124" s="5"/>
    </row>
    <row r="125" spans="1:22" x14ac:dyDescent="0.35">
      <c r="A125" s="24"/>
      <c r="B125" s="25" t="s">
        <v>229</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228</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221</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220</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219</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218</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41</v>
      </c>
      <c r="C131" s="25"/>
      <c r="D131" s="25"/>
      <c r="E131" s="25"/>
      <c r="F131" s="25"/>
      <c r="G131" s="25"/>
      <c r="H131" s="25"/>
      <c r="I131" s="25"/>
      <c r="J131" s="25"/>
      <c r="K131" s="25"/>
      <c r="L131" s="25"/>
      <c r="M131" s="25"/>
      <c r="N131" s="25"/>
      <c r="O131" s="25"/>
      <c r="P131" s="25"/>
      <c r="Q131" s="25"/>
      <c r="R131" s="34">
        <f>SUM(R121:R130)</f>
        <v>-20881</v>
      </c>
      <c r="S131" s="34"/>
      <c r="T131" s="34">
        <f>SUM(T101:T129)</f>
        <v>-16071</v>
      </c>
      <c r="U131" s="25"/>
      <c r="V131" s="5"/>
    </row>
    <row r="132" spans="1:22" x14ac:dyDescent="0.35">
      <c r="A132" s="24"/>
      <c r="B132" s="25" t="s">
        <v>42</v>
      </c>
      <c r="C132" s="25"/>
      <c r="D132" s="25"/>
      <c r="E132" s="25"/>
      <c r="F132" s="25"/>
      <c r="G132" s="25"/>
      <c r="H132" s="25"/>
      <c r="I132" s="25"/>
      <c r="J132" s="25"/>
      <c r="K132" s="25"/>
      <c r="L132" s="25"/>
      <c r="M132" s="25"/>
      <c r="N132" s="25"/>
      <c r="O132" s="25"/>
      <c r="P132" s="25"/>
      <c r="Q132" s="25"/>
      <c r="R132" s="34">
        <f>R100+R131</f>
        <v>0</v>
      </c>
      <c r="S132" s="34"/>
      <c r="T132" s="34">
        <f>T100+T131</f>
        <v>0</v>
      </c>
      <c r="U132" s="25"/>
      <c r="V132" s="5"/>
    </row>
    <row r="133" spans="1:22" x14ac:dyDescent="0.35">
      <c r="A133" s="24"/>
      <c r="B133" s="25"/>
      <c r="C133" s="25"/>
      <c r="D133" s="25"/>
      <c r="E133" s="25"/>
      <c r="F133" s="25"/>
      <c r="G133" s="25"/>
      <c r="H133" s="25"/>
      <c r="I133" s="25"/>
      <c r="J133" s="25"/>
      <c r="K133" s="25"/>
      <c r="L133" s="25"/>
      <c r="M133" s="25"/>
      <c r="N133" s="25"/>
      <c r="O133" s="25"/>
      <c r="P133" s="25"/>
      <c r="Q133" s="25"/>
      <c r="R133" s="34"/>
      <c r="S133" s="34"/>
      <c r="T133" s="34"/>
      <c r="U133" s="25"/>
      <c r="V133" s="5"/>
    </row>
    <row r="134" spans="1:22" x14ac:dyDescent="0.35">
      <c r="A134" s="6"/>
      <c r="B134" s="8"/>
      <c r="C134" s="8"/>
      <c r="D134" s="8"/>
      <c r="E134" s="8"/>
      <c r="F134" s="8"/>
      <c r="G134" s="8"/>
      <c r="H134" s="8"/>
      <c r="I134" s="8"/>
      <c r="J134" s="8"/>
      <c r="K134" s="8"/>
      <c r="L134" s="8"/>
      <c r="M134" s="8"/>
      <c r="N134" s="8"/>
      <c r="O134" s="8"/>
      <c r="P134" s="8"/>
      <c r="Q134" s="8"/>
      <c r="R134" s="8"/>
      <c r="S134" s="8"/>
      <c r="T134" s="52"/>
      <c r="U134" s="8"/>
      <c r="V134" s="5"/>
    </row>
    <row r="135" spans="1:22" ht="18" thickBot="1" x14ac:dyDescent="0.4">
      <c r="A135" s="101"/>
      <c r="B135" s="102" t="str">
        <f>B64</f>
        <v>PM10 INVESTOR REPORT QUARTER ENDING FEBRUARY 2007</v>
      </c>
      <c r="C135" s="103"/>
      <c r="D135" s="103"/>
      <c r="E135" s="103"/>
      <c r="F135" s="103"/>
      <c r="G135" s="103"/>
      <c r="H135" s="103"/>
      <c r="I135" s="103"/>
      <c r="J135" s="103"/>
      <c r="K135" s="103"/>
      <c r="L135" s="103"/>
      <c r="M135" s="103"/>
      <c r="N135" s="103"/>
      <c r="O135" s="103"/>
      <c r="P135" s="103"/>
      <c r="Q135" s="103"/>
      <c r="R135" s="103"/>
      <c r="S135" s="103"/>
      <c r="T135" s="106"/>
      <c r="U135" s="105"/>
      <c r="V135" s="5"/>
    </row>
    <row r="136" spans="1:22" x14ac:dyDescent="0.35">
      <c r="A136" s="2"/>
      <c r="B136" s="60" t="s">
        <v>43</v>
      </c>
      <c r="C136" s="4"/>
      <c r="D136" s="4"/>
      <c r="E136" s="4"/>
      <c r="F136" s="4"/>
      <c r="G136" s="4"/>
      <c r="H136" s="4"/>
      <c r="I136" s="4"/>
      <c r="J136" s="4"/>
      <c r="K136" s="4"/>
      <c r="L136" s="4"/>
      <c r="M136" s="4"/>
      <c r="N136" s="4"/>
      <c r="O136" s="4"/>
      <c r="P136" s="4"/>
      <c r="Q136" s="4"/>
      <c r="R136" s="4"/>
      <c r="S136" s="4"/>
      <c r="T136" s="50"/>
      <c r="U136" s="4"/>
      <c r="V136" s="5"/>
    </row>
    <row r="137" spans="1:22" x14ac:dyDescent="0.35">
      <c r="A137" s="6"/>
      <c r="B137" s="21"/>
      <c r="C137" s="8"/>
      <c r="D137" s="8"/>
      <c r="E137" s="8"/>
      <c r="F137" s="8"/>
      <c r="G137" s="8"/>
      <c r="H137" s="8"/>
      <c r="I137" s="8"/>
      <c r="J137" s="8"/>
      <c r="K137" s="8"/>
      <c r="L137" s="8"/>
      <c r="M137" s="8"/>
      <c r="N137" s="8"/>
      <c r="O137" s="8"/>
      <c r="P137" s="8"/>
      <c r="Q137" s="8"/>
      <c r="R137" s="8"/>
      <c r="S137" s="8"/>
      <c r="T137" s="52"/>
      <c r="U137" s="8"/>
      <c r="V137" s="5"/>
    </row>
    <row r="138" spans="1:22" x14ac:dyDescent="0.35">
      <c r="A138" s="6"/>
      <c r="B138" s="119" t="s">
        <v>44</v>
      </c>
      <c r="C138" s="8"/>
      <c r="D138" s="8"/>
      <c r="E138" s="8"/>
      <c r="F138" s="8"/>
      <c r="G138" s="8"/>
      <c r="H138" s="8"/>
      <c r="I138" s="8"/>
      <c r="J138" s="8"/>
      <c r="K138" s="8"/>
      <c r="L138" s="8"/>
      <c r="M138" s="8"/>
      <c r="N138" s="8"/>
      <c r="O138" s="8"/>
      <c r="P138" s="8"/>
      <c r="Q138" s="8"/>
      <c r="R138" s="8"/>
      <c r="S138" s="8"/>
      <c r="T138" s="52"/>
      <c r="U138" s="8"/>
      <c r="V138" s="5"/>
    </row>
    <row r="139" spans="1:22" x14ac:dyDescent="0.35">
      <c r="A139" s="24"/>
      <c r="B139" s="25" t="s">
        <v>45</v>
      </c>
      <c r="C139" s="25"/>
      <c r="D139" s="25"/>
      <c r="E139" s="25"/>
      <c r="F139" s="25"/>
      <c r="G139" s="25"/>
      <c r="H139" s="25"/>
      <c r="I139" s="25"/>
      <c r="J139" s="25"/>
      <c r="K139" s="25"/>
      <c r="L139" s="25"/>
      <c r="M139" s="25"/>
      <c r="N139" s="25"/>
      <c r="O139" s="25"/>
      <c r="P139" s="25"/>
      <c r="Q139" s="25"/>
      <c r="R139" s="25"/>
      <c r="S139" s="25"/>
      <c r="T139" s="53">
        <f>+T34*0.0186</f>
        <v>18606.565799999997</v>
      </c>
      <c r="U139" s="25"/>
      <c r="V139" s="5"/>
    </row>
    <row r="140" spans="1:22" x14ac:dyDescent="0.35">
      <c r="A140" s="24"/>
      <c r="B140" s="25" t="s">
        <v>46</v>
      </c>
      <c r="C140" s="25"/>
      <c r="D140" s="25"/>
      <c r="E140" s="25"/>
      <c r="F140" s="25"/>
      <c r="G140" s="25"/>
      <c r="H140" s="25"/>
      <c r="I140" s="25"/>
      <c r="J140" s="25"/>
      <c r="K140" s="25"/>
      <c r="L140" s="25"/>
      <c r="M140" s="25"/>
      <c r="N140" s="25"/>
      <c r="O140" s="25"/>
      <c r="P140" s="25"/>
      <c r="Q140" s="25"/>
      <c r="R140" s="25"/>
      <c r="S140" s="25"/>
      <c r="T140" s="53">
        <v>18607</v>
      </c>
      <c r="U140" s="25"/>
      <c r="V140" s="5"/>
    </row>
    <row r="141" spans="1:22" x14ac:dyDescent="0.35">
      <c r="A141" s="24"/>
      <c r="B141" s="25" t="s">
        <v>143</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130</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131</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186</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47</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136</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222</v>
      </c>
      <c r="C147" s="25"/>
      <c r="D147" s="25"/>
      <c r="E147" s="25"/>
      <c r="F147" s="25"/>
      <c r="G147" s="25"/>
      <c r="H147" s="25"/>
      <c r="I147" s="25"/>
      <c r="J147" s="25"/>
      <c r="K147" s="25"/>
      <c r="L147" s="25"/>
      <c r="M147" s="25"/>
      <c r="N147" s="25"/>
      <c r="O147" s="25"/>
      <c r="P147" s="25"/>
      <c r="Q147" s="25"/>
      <c r="R147" s="25"/>
      <c r="S147" s="25"/>
      <c r="T147" s="53">
        <v>0</v>
      </c>
      <c r="U147" s="25"/>
      <c r="V147" s="5"/>
      <c r="W147" s="109"/>
    </row>
    <row r="148" spans="1:23" x14ac:dyDescent="0.35">
      <c r="A148" s="24"/>
      <c r="B148" s="25" t="s">
        <v>48</v>
      </c>
      <c r="C148" s="25"/>
      <c r="D148" s="25"/>
      <c r="E148" s="25"/>
      <c r="F148" s="25"/>
      <c r="G148" s="25"/>
      <c r="H148" s="25"/>
      <c r="I148" s="25"/>
      <c r="J148" s="25"/>
      <c r="K148" s="25"/>
      <c r="L148" s="25"/>
      <c r="M148" s="25"/>
      <c r="N148" s="25"/>
      <c r="O148" s="25"/>
      <c r="P148" s="25"/>
      <c r="Q148" s="25"/>
      <c r="R148" s="25"/>
      <c r="S148" s="25"/>
      <c r="T148" s="53">
        <f>SUM(T140:T147)</f>
        <v>18607</v>
      </c>
      <c r="U148" s="25"/>
      <c r="V148" s="5"/>
    </row>
    <row r="149" spans="1:23" x14ac:dyDescent="0.35">
      <c r="A149" s="24"/>
      <c r="B149" s="25"/>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139" t="s">
        <v>266</v>
      </c>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25" t="s">
        <v>163</v>
      </c>
      <c r="C151" s="25"/>
      <c r="D151" s="25"/>
      <c r="E151" s="25"/>
      <c r="F151" s="25"/>
      <c r="G151" s="25"/>
      <c r="H151" s="25"/>
      <c r="I151" s="25"/>
      <c r="J151" s="25"/>
      <c r="K151" s="25"/>
      <c r="L151" s="25"/>
      <c r="M151" s="25"/>
      <c r="N151" s="25"/>
      <c r="O151" s="25"/>
      <c r="P151" s="25"/>
      <c r="Q151" s="25"/>
      <c r="R151" s="25"/>
      <c r="S151" s="25"/>
      <c r="T151" s="53">
        <v>5750</v>
      </c>
      <c r="U151" s="25"/>
      <c r="V151" s="5"/>
    </row>
    <row r="152" spans="1:23" x14ac:dyDescent="0.35">
      <c r="A152" s="24"/>
      <c r="B152" s="25" t="s">
        <v>264</v>
      </c>
      <c r="C152" s="25"/>
      <c r="D152" s="25"/>
      <c r="E152" s="25"/>
      <c r="F152" s="25"/>
      <c r="G152" s="25"/>
      <c r="H152" s="25"/>
      <c r="I152" s="25"/>
      <c r="J152" s="25"/>
      <c r="K152" s="25"/>
      <c r="L152" s="25"/>
      <c r="M152" s="25"/>
      <c r="N152" s="25"/>
      <c r="O152" s="25"/>
      <c r="P152" s="25"/>
      <c r="Q152" s="25"/>
      <c r="R152" s="25"/>
      <c r="S152" s="25"/>
      <c r="T152" s="53">
        <v>4721</v>
      </c>
      <c r="U152" s="25"/>
      <c r="V152" s="5"/>
    </row>
    <row r="153" spans="1:23" x14ac:dyDescent="0.35">
      <c r="A153" s="24"/>
      <c r="B153" s="25" t="s">
        <v>183</v>
      </c>
      <c r="C153" s="25"/>
      <c r="D153" s="25"/>
      <c r="E153" s="25"/>
      <c r="F153" s="25"/>
      <c r="G153" s="25"/>
      <c r="H153" s="25"/>
      <c r="I153" s="25"/>
      <c r="J153" s="25"/>
      <c r="K153" s="25"/>
      <c r="L153" s="25"/>
      <c r="M153" s="25"/>
      <c r="N153" s="25"/>
      <c r="O153" s="25"/>
      <c r="P153" s="25"/>
      <c r="Q153" s="25"/>
      <c r="R153" s="25"/>
      <c r="S153" s="25"/>
      <c r="T153" s="53">
        <v>0</v>
      </c>
      <c r="U153" s="25"/>
      <c r="V153" s="5"/>
    </row>
    <row r="154" spans="1:23" x14ac:dyDescent="0.35">
      <c r="A154" s="24"/>
      <c r="B154" s="25" t="s">
        <v>267</v>
      </c>
      <c r="C154" s="25"/>
      <c r="D154" s="25"/>
      <c r="E154" s="25"/>
      <c r="F154" s="25"/>
      <c r="G154" s="25"/>
      <c r="H154" s="25"/>
      <c r="I154" s="25"/>
      <c r="J154" s="25"/>
      <c r="K154" s="25"/>
      <c r="L154" s="25"/>
      <c r="M154" s="25"/>
      <c r="N154" s="25"/>
      <c r="O154" s="25"/>
      <c r="P154" s="25"/>
      <c r="Q154" s="25"/>
      <c r="R154" s="25"/>
      <c r="S154" s="25"/>
      <c r="T154" s="53">
        <v>4455</v>
      </c>
      <c r="U154" s="25"/>
      <c r="V154" s="5"/>
    </row>
    <row r="155" spans="1:23" x14ac:dyDescent="0.35">
      <c r="A155" s="24"/>
      <c r="B155" s="25"/>
      <c r="C155" s="25"/>
      <c r="D155" s="25"/>
      <c r="E155" s="25"/>
      <c r="F155" s="25"/>
      <c r="G155" s="25"/>
      <c r="H155" s="25"/>
      <c r="I155" s="25"/>
      <c r="J155" s="25"/>
      <c r="K155" s="25"/>
      <c r="L155" s="25"/>
      <c r="M155" s="25"/>
      <c r="N155" s="25"/>
      <c r="O155" s="25"/>
      <c r="P155" s="25"/>
      <c r="Q155" s="25"/>
      <c r="R155" s="25"/>
      <c r="S155" s="25"/>
      <c r="T155" s="53"/>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61"/>
      <c r="U156" s="25"/>
      <c r="V156" s="5"/>
    </row>
    <row r="157" spans="1:23" x14ac:dyDescent="0.35">
      <c r="A157" s="6"/>
      <c r="B157" s="119" t="s">
        <v>24</v>
      </c>
      <c r="C157" s="8"/>
      <c r="D157" s="8"/>
      <c r="E157" s="8"/>
      <c r="F157" s="8"/>
      <c r="G157" s="8"/>
      <c r="H157" s="8"/>
      <c r="I157" s="8"/>
      <c r="J157" s="8"/>
      <c r="K157" s="8"/>
      <c r="L157" s="8"/>
      <c r="M157" s="8"/>
      <c r="N157" s="8"/>
      <c r="O157" s="8"/>
      <c r="P157" s="8"/>
      <c r="Q157" s="8"/>
      <c r="R157" s="8"/>
      <c r="S157" s="8"/>
      <c r="T157" s="52"/>
      <c r="U157" s="8"/>
      <c r="V157" s="5"/>
    </row>
    <row r="158" spans="1:23" x14ac:dyDescent="0.35">
      <c r="A158" s="24"/>
      <c r="B158" s="25" t="s">
        <v>49</v>
      </c>
      <c r="C158" s="25"/>
      <c r="D158" s="25"/>
      <c r="E158" s="25"/>
      <c r="F158" s="25"/>
      <c r="G158" s="25"/>
      <c r="H158" s="25"/>
      <c r="I158" s="25"/>
      <c r="J158" s="25"/>
      <c r="K158" s="25"/>
      <c r="L158" s="25"/>
      <c r="M158" s="25"/>
      <c r="N158" s="25"/>
      <c r="O158" s="25"/>
      <c r="P158" s="25"/>
      <c r="Q158" s="25"/>
      <c r="R158" s="25"/>
      <c r="S158" s="25"/>
      <c r="T158" s="59" t="s">
        <v>125</v>
      </c>
      <c r="U158" s="25"/>
      <c r="V158" s="5"/>
    </row>
    <row r="159" spans="1:23" x14ac:dyDescent="0.35">
      <c r="A159" s="24"/>
      <c r="B159" s="25" t="s">
        <v>50</v>
      </c>
      <c r="C159" s="164"/>
      <c r="D159" s="164"/>
      <c r="E159" s="164"/>
      <c r="F159" s="164"/>
      <c r="G159" s="164"/>
      <c r="H159" s="164"/>
      <c r="I159" s="164"/>
      <c r="J159" s="164"/>
      <c r="K159" s="164"/>
      <c r="L159" s="164"/>
      <c r="M159" s="164"/>
      <c r="N159" s="164"/>
      <c r="O159" s="164"/>
      <c r="P159" s="164"/>
      <c r="Q159" s="164"/>
      <c r="R159" s="164"/>
      <c r="S159" s="164"/>
      <c r="T159" s="59" t="s">
        <v>125</v>
      </c>
      <c r="U159" s="25"/>
      <c r="V159" s="5"/>
    </row>
    <row r="160" spans="1:23" x14ac:dyDescent="0.35">
      <c r="A160" s="24"/>
      <c r="B160" s="25" t="s">
        <v>51</v>
      </c>
      <c r="C160" s="25"/>
      <c r="D160" s="25"/>
      <c r="E160" s="25"/>
      <c r="F160" s="25"/>
      <c r="G160" s="25"/>
      <c r="H160" s="25"/>
      <c r="I160" s="25"/>
      <c r="J160" s="25"/>
      <c r="K160" s="25"/>
      <c r="L160" s="25"/>
      <c r="M160" s="25"/>
      <c r="N160" s="25"/>
      <c r="O160" s="25"/>
      <c r="P160" s="25"/>
      <c r="Q160" s="25"/>
      <c r="R160" s="25"/>
      <c r="S160" s="25"/>
      <c r="T160" s="59" t="s">
        <v>125</v>
      </c>
      <c r="U160" s="25"/>
      <c r="V160" s="5"/>
    </row>
    <row r="161" spans="1:22" x14ac:dyDescent="0.35">
      <c r="A161" s="24"/>
      <c r="B161" s="25" t="s">
        <v>52</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c r="C162" s="25"/>
      <c r="D162" s="25"/>
      <c r="E162" s="25"/>
      <c r="F162" s="25"/>
      <c r="G162" s="25"/>
      <c r="H162" s="25"/>
      <c r="I162" s="25"/>
      <c r="J162" s="25"/>
      <c r="K162" s="25"/>
      <c r="L162" s="25"/>
      <c r="M162" s="25"/>
      <c r="N162" s="25"/>
      <c r="O162" s="25"/>
      <c r="P162" s="25"/>
      <c r="Q162" s="25"/>
      <c r="R162" s="25"/>
      <c r="S162" s="25"/>
      <c r="T162" s="61"/>
      <c r="U162" s="25"/>
      <c r="V162" s="5"/>
    </row>
    <row r="163" spans="1:22" x14ac:dyDescent="0.35">
      <c r="A163" s="6"/>
      <c r="B163" s="119" t="s">
        <v>53</v>
      </c>
      <c r="C163" s="8"/>
      <c r="D163" s="8"/>
      <c r="E163" s="8"/>
      <c r="F163" s="8"/>
      <c r="G163" s="8"/>
      <c r="H163" s="8"/>
      <c r="I163" s="8"/>
      <c r="J163" s="8"/>
      <c r="K163" s="8"/>
      <c r="L163" s="8"/>
      <c r="M163" s="8"/>
      <c r="N163" s="8"/>
      <c r="O163" s="8"/>
      <c r="P163" s="8"/>
      <c r="Q163" s="8"/>
      <c r="R163" s="8"/>
      <c r="S163" s="8"/>
      <c r="T163" s="63"/>
      <c r="U163" s="8"/>
      <c r="V163" s="5"/>
    </row>
    <row r="164" spans="1:22" x14ac:dyDescent="0.35">
      <c r="A164" s="24"/>
      <c r="B164" s="25" t="s">
        <v>54</v>
      </c>
      <c r="C164" s="25"/>
      <c r="D164" s="25"/>
      <c r="E164" s="25"/>
      <c r="F164" s="25"/>
      <c r="G164" s="25"/>
      <c r="H164" s="25"/>
      <c r="I164" s="25"/>
      <c r="J164" s="25"/>
      <c r="K164" s="25"/>
      <c r="L164" s="25"/>
      <c r="M164" s="25"/>
      <c r="N164" s="25"/>
      <c r="O164" s="25"/>
      <c r="P164" s="25"/>
      <c r="Q164" s="25"/>
      <c r="R164" s="25"/>
      <c r="S164" s="25"/>
      <c r="T164" s="53">
        <v>0</v>
      </c>
      <c r="U164" s="25"/>
      <c r="V164" s="5"/>
    </row>
    <row r="165" spans="1:22" x14ac:dyDescent="0.35">
      <c r="A165" s="24"/>
      <c r="B165" s="25" t="s">
        <v>55</v>
      </c>
      <c r="C165" s="25"/>
      <c r="D165" s="25"/>
      <c r="E165" s="25"/>
      <c r="F165" s="25"/>
      <c r="G165" s="25"/>
      <c r="H165" s="25"/>
      <c r="I165" s="25"/>
      <c r="J165" s="25"/>
      <c r="K165" s="25"/>
      <c r="L165" s="25"/>
      <c r="M165" s="25"/>
      <c r="N165" s="25"/>
      <c r="O165" s="25"/>
      <c r="P165" s="25"/>
      <c r="Q165" s="25"/>
      <c r="R165" s="25"/>
      <c r="S165" s="25"/>
      <c r="T165" s="53">
        <v>1</v>
      </c>
      <c r="U165" s="25"/>
      <c r="V165" s="5"/>
    </row>
    <row r="166" spans="1:22" x14ac:dyDescent="0.35">
      <c r="A166" s="24"/>
      <c r="B166" s="25" t="s">
        <v>56</v>
      </c>
      <c r="C166" s="25"/>
      <c r="D166" s="25"/>
      <c r="E166" s="25"/>
      <c r="F166" s="25"/>
      <c r="G166" s="25"/>
      <c r="H166" s="25"/>
      <c r="I166" s="25"/>
      <c r="J166" s="25"/>
      <c r="K166" s="25"/>
      <c r="L166" s="25"/>
      <c r="M166" s="25"/>
      <c r="N166" s="25"/>
      <c r="O166" s="25"/>
      <c r="P166" s="25"/>
      <c r="Q166" s="25"/>
      <c r="R166" s="25"/>
      <c r="S166" s="25"/>
      <c r="T166" s="53">
        <f>T165+T164</f>
        <v>1</v>
      </c>
      <c r="U166" s="25"/>
      <c r="V166" s="5"/>
    </row>
    <row r="167" spans="1:22" x14ac:dyDescent="0.35">
      <c r="A167" s="24"/>
      <c r="B167" s="25" t="s">
        <v>315</v>
      </c>
      <c r="C167" s="25"/>
      <c r="D167" s="25"/>
      <c r="E167" s="25"/>
      <c r="F167" s="25"/>
      <c r="G167" s="25"/>
      <c r="H167" s="25"/>
      <c r="I167" s="25"/>
      <c r="J167" s="25"/>
      <c r="K167" s="25"/>
      <c r="L167" s="25"/>
      <c r="M167" s="25"/>
      <c r="N167" s="25"/>
      <c r="O167" s="25"/>
      <c r="P167" s="25"/>
      <c r="Q167" s="25"/>
      <c r="R167" s="25"/>
      <c r="S167" s="25"/>
      <c r="T167" s="53">
        <f>T114</f>
        <v>-1</v>
      </c>
      <c r="U167" s="25"/>
      <c r="V167" s="5"/>
    </row>
    <row r="168" spans="1:22" x14ac:dyDescent="0.35">
      <c r="A168" s="24"/>
      <c r="B168" s="25" t="s">
        <v>57</v>
      </c>
      <c r="C168" s="25"/>
      <c r="D168" s="25"/>
      <c r="E168" s="25"/>
      <c r="F168" s="25"/>
      <c r="G168" s="25"/>
      <c r="H168" s="25"/>
      <c r="I168" s="25"/>
      <c r="J168" s="25"/>
      <c r="K168" s="25"/>
      <c r="L168" s="25"/>
      <c r="M168" s="25"/>
      <c r="N168" s="25"/>
      <c r="O168" s="25"/>
      <c r="P168" s="25"/>
      <c r="Q168" s="25"/>
      <c r="R168" s="25"/>
      <c r="S168" s="25"/>
      <c r="T168" s="53">
        <f>T166+T167</f>
        <v>0</v>
      </c>
      <c r="U168" s="25"/>
      <c r="V168" s="5"/>
    </row>
    <row r="169" spans="1:22" ht="16" thickBot="1" x14ac:dyDescent="0.4">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x14ac:dyDescent="0.35">
      <c r="A170" s="2"/>
      <c r="B170" s="4"/>
      <c r="C170" s="4"/>
      <c r="D170" s="4"/>
      <c r="E170" s="4"/>
      <c r="F170" s="4"/>
      <c r="G170" s="4"/>
      <c r="H170" s="4"/>
      <c r="I170" s="4"/>
      <c r="J170" s="4"/>
      <c r="K170" s="4"/>
      <c r="L170" s="4"/>
      <c r="M170" s="4"/>
      <c r="N170" s="4"/>
      <c r="O170" s="4"/>
      <c r="P170" s="4"/>
      <c r="Q170" s="4"/>
      <c r="R170" s="4"/>
      <c r="S170" s="4"/>
      <c r="T170" s="50"/>
      <c r="U170" s="4"/>
      <c r="V170" s="5"/>
    </row>
    <row r="171" spans="1:22" x14ac:dyDescent="0.35">
      <c r="A171" s="6"/>
      <c r="B171" s="119" t="s">
        <v>58</v>
      </c>
      <c r="C171" s="8"/>
      <c r="D171" s="8"/>
      <c r="E171" s="8"/>
      <c r="F171" s="8"/>
      <c r="G171" s="8"/>
      <c r="H171" s="8"/>
      <c r="I171" s="8"/>
      <c r="J171" s="8"/>
      <c r="K171" s="8"/>
      <c r="L171" s="8"/>
      <c r="M171" s="8"/>
      <c r="N171" s="8"/>
      <c r="O171" s="8"/>
      <c r="P171" s="8"/>
      <c r="Q171" s="8"/>
      <c r="R171" s="8"/>
      <c r="S171" s="8"/>
      <c r="T171" s="52"/>
      <c r="U171" s="8"/>
      <c r="V171" s="5"/>
    </row>
    <row r="172" spans="1:22" x14ac:dyDescent="0.35">
      <c r="A172" s="6"/>
      <c r="B172" s="21"/>
      <c r="C172" s="8"/>
      <c r="D172" s="8"/>
      <c r="E172" s="8"/>
      <c r="F172" s="8"/>
      <c r="G172" s="8"/>
      <c r="H172" s="8"/>
      <c r="I172" s="8"/>
      <c r="J172" s="8"/>
      <c r="K172" s="8"/>
      <c r="L172" s="8"/>
      <c r="M172" s="8"/>
      <c r="N172" s="8"/>
      <c r="O172" s="8"/>
      <c r="P172" s="8"/>
      <c r="Q172" s="8"/>
      <c r="R172" s="8"/>
      <c r="S172" s="8"/>
      <c r="T172" s="52"/>
      <c r="U172" s="8"/>
      <c r="V172" s="5"/>
    </row>
    <row r="173" spans="1:22" x14ac:dyDescent="0.35">
      <c r="A173" s="24"/>
      <c r="B173" s="25" t="s">
        <v>59</v>
      </c>
      <c r="C173" s="25"/>
      <c r="D173" s="25"/>
      <c r="E173" s="25"/>
      <c r="F173" s="25"/>
      <c r="G173" s="25"/>
      <c r="H173" s="25"/>
      <c r="I173" s="25"/>
      <c r="J173" s="25"/>
      <c r="K173" s="25"/>
      <c r="L173" s="25"/>
      <c r="M173" s="25"/>
      <c r="N173" s="25"/>
      <c r="O173" s="25"/>
      <c r="P173" s="25"/>
      <c r="Q173" s="25"/>
      <c r="R173" s="25"/>
      <c r="S173" s="25"/>
      <c r="T173" s="53">
        <f>T72</f>
        <v>923667</v>
      </c>
      <c r="U173" s="25"/>
      <c r="V173" s="5"/>
    </row>
    <row r="174" spans="1:22" x14ac:dyDescent="0.35">
      <c r="A174" s="24"/>
      <c r="B174" s="25" t="s">
        <v>60</v>
      </c>
      <c r="C174" s="25"/>
      <c r="D174" s="25"/>
      <c r="E174" s="25"/>
      <c r="F174" s="25"/>
      <c r="G174" s="25"/>
      <c r="H174" s="25"/>
      <c r="I174" s="25"/>
      <c r="J174" s="25"/>
      <c r="K174" s="25"/>
      <c r="L174" s="25"/>
      <c r="M174" s="25"/>
      <c r="N174" s="25"/>
      <c r="O174" s="25"/>
      <c r="P174" s="25"/>
      <c r="Q174" s="25"/>
      <c r="R174" s="25"/>
      <c r="S174" s="25"/>
      <c r="T174" s="53">
        <f>T85</f>
        <v>923667</v>
      </c>
      <c r="U174" s="25"/>
      <c r="V174" s="5"/>
    </row>
    <row r="175" spans="1:22" ht="16" thickBot="1" x14ac:dyDescent="0.4">
      <c r="A175" s="24"/>
      <c r="B175" s="25"/>
      <c r="C175" s="25"/>
      <c r="D175" s="25"/>
      <c r="E175" s="25"/>
      <c r="F175" s="25"/>
      <c r="G175" s="25"/>
      <c r="H175" s="25"/>
      <c r="I175" s="25"/>
      <c r="J175" s="25"/>
      <c r="K175" s="25"/>
      <c r="L175" s="25"/>
      <c r="M175" s="25"/>
      <c r="N175" s="25"/>
      <c r="O175" s="25"/>
      <c r="P175" s="25"/>
      <c r="Q175" s="25"/>
      <c r="R175" s="25"/>
      <c r="S175" s="25"/>
      <c r="T175" s="61"/>
      <c r="U175" s="25"/>
      <c r="V175" s="5"/>
    </row>
    <row r="176" spans="1:22" x14ac:dyDescent="0.35">
      <c r="A176" s="2"/>
      <c r="B176" s="4"/>
      <c r="C176" s="4"/>
      <c r="D176" s="4"/>
      <c r="E176" s="4"/>
      <c r="F176" s="4"/>
      <c r="G176" s="4"/>
      <c r="H176" s="4"/>
      <c r="I176" s="4"/>
      <c r="J176" s="4"/>
      <c r="K176" s="4"/>
      <c r="L176" s="4"/>
      <c r="M176" s="4"/>
      <c r="N176" s="4"/>
      <c r="O176" s="4"/>
      <c r="P176" s="4"/>
      <c r="Q176" s="4"/>
      <c r="R176" s="4"/>
      <c r="S176" s="4"/>
      <c r="T176" s="50"/>
      <c r="U176" s="4"/>
      <c r="V176" s="5"/>
    </row>
    <row r="177" spans="1:22" x14ac:dyDescent="0.35">
      <c r="A177" s="6"/>
      <c r="B177" s="119" t="s">
        <v>61</v>
      </c>
      <c r="C177" s="117"/>
      <c r="D177" s="117"/>
      <c r="E177" s="117"/>
      <c r="F177" s="117"/>
      <c r="G177" s="117"/>
      <c r="H177" s="120"/>
      <c r="I177" s="120"/>
      <c r="J177" s="120"/>
      <c r="K177" s="120"/>
      <c r="L177" s="120"/>
      <c r="M177" s="120"/>
      <c r="N177" s="120"/>
      <c r="O177" s="120"/>
      <c r="P177" s="120"/>
      <c r="Q177" s="120" t="s">
        <v>105</v>
      </c>
      <c r="R177" s="120" t="s">
        <v>187</v>
      </c>
      <c r="S177" s="111"/>
      <c r="T177" s="121" t="s">
        <v>121</v>
      </c>
      <c r="U177" s="10"/>
      <c r="V177" s="5"/>
    </row>
    <row r="178" spans="1:22" x14ac:dyDescent="0.35">
      <c r="A178" s="24"/>
      <c r="B178" s="25" t="s">
        <v>62</v>
      </c>
      <c r="C178" s="25"/>
      <c r="D178" s="25"/>
      <c r="E178" s="25"/>
      <c r="F178" s="25"/>
      <c r="G178" s="25"/>
      <c r="H178" s="25"/>
      <c r="I178" s="25"/>
      <c r="J178" s="25"/>
      <c r="K178" s="25"/>
      <c r="L178" s="25"/>
      <c r="M178" s="25"/>
      <c r="N178" s="25"/>
      <c r="O178" s="25"/>
      <c r="P178" s="25"/>
      <c r="Q178" s="53">
        <f>+T34*0.16</f>
        <v>160056.48000000001</v>
      </c>
      <c r="R178" s="40"/>
      <c r="S178" s="25"/>
      <c r="T178" s="53"/>
      <c r="U178" s="25"/>
      <c r="V178" s="5"/>
    </row>
    <row r="179" spans="1:22" x14ac:dyDescent="0.35">
      <c r="A179" s="24"/>
      <c r="B179" s="25" t="s">
        <v>63</v>
      </c>
      <c r="C179" s="25"/>
      <c r="D179" s="25"/>
      <c r="E179" s="25"/>
      <c r="F179" s="25"/>
      <c r="G179" s="25"/>
      <c r="H179" s="25"/>
      <c r="I179" s="25"/>
      <c r="J179" s="25"/>
      <c r="K179" s="25"/>
      <c r="L179" s="25"/>
      <c r="M179" s="25"/>
      <c r="N179" s="25"/>
      <c r="O179" s="25"/>
      <c r="P179" s="25"/>
      <c r="Q179" s="53">
        <f>+'Nov 06'!Q180</f>
        <v>17124</v>
      </c>
      <c r="R179" s="53">
        <f>+'Nov 06'!R180</f>
        <v>4970</v>
      </c>
      <c r="S179" s="25"/>
      <c r="T179" s="53">
        <f>Q179+R179</f>
        <v>22094</v>
      </c>
      <c r="U179" s="25"/>
      <c r="V179" s="5"/>
    </row>
    <row r="180" spans="1:22" x14ac:dyDescent="0.35">
      <c r="A180" s="24"/>
      <c r="B180" s="25" t="s">
        <v>64</v>
      </c>
      <c r="C180" s="25"/>
      <c r="D180" s="25"/>
      <c r="E180" s="25"/>
      <c r="F180" s="25"/>
      <c r="G180" s="25"/>
      <c r="H180" s="25"/>
      <c r="I180" s="25"/>
      <c r="J180" s="25"/>
      <c r="K180" s="25"/>
      <c r="L180" s="25"/>
      <c r="M180" s="25"/>
      <c r="N180" s="25"/>
      <c r="O180" s="25"/>
      <c r="P180" s="25"/>
      <c r="Q180" s="34">
        <v>4425</v>
      </c>
      <c r="R180" s="34">
        <v>250</v>
      </c>
      <c r="S180" s="25"/>
      <c r="T180" s="53">
        <f>Q180+R180</f>
        <v>4675</v>
      </c>
      <c r="U180" s="25"/>
      <c r="V180" s="5"/>
    </row>
    <row r="181" spans="1:22" x14ac:dyDescent="0.35">
      <c r="A181" s="24"/>
      <c r="B181" s="25" t="s">
        <v>65</v>
      </c>
      <c r="C181" s="25"/>
      <c r="D181" s="25"/>
      <c r="E181" s="25"/>
      <c r="F181" s="25"/>
      <c r="G181" s="25"/>
      <c r="H181" s="25"/>
      <c r="I181" s="25"/>
      <c r="J181" s="25"/>
      <c r="K181" s="25"/>
      <c r="L181" s="25"/>
      <c r="M181" s="25"/>
      <c r="N181" s="25"/>
      <c r="O181" s="25"/>
      <c r="P181" s="25"/>
      <c r="Q181" s="53">
        <f>Q179+Q180</f>
        <v>21549</v>
      </c>
      <c r="R181" s="53">
        <f>R180+R179</f>
        <v>5220</v>
      </c>
      <c r="S181" s="25"/>
      <c r="T181" s="53">
        <f>Q181+R181</f>
        <v>26769</v>
      </c>
      <c r="U181" s="25"/>
      <c r="V181" s="5"/>
    </row>
    <row r="182" spans="1:22" x14ac:dyDescent="0.35">
      <c r="A182" s="24"/>
      <c r="B182" s="25" t="s">
        <v>66</v>
      </c>
      <c r="C182" s="25"/>
      <c r="D182" s="25"/>
      <c r="E182" s="25"/>
      <c r="F182" s="25"/>
      <c r="G182" s="25"/>
      <c r="H182" s="25"/>
      <c r="I182" s="25"/>
      <c r="J182" s="25"/>
      <c r="K182" s="25"/>
      <c r="L182" s="25"/>
      <c r="M182" s="25"/>
      <c r="N182" s="25"/>
      <c r="O182" s="25"/>
      <c r="P182" s="25"/>
      <c r="Q182" s="53">
        <f>Q178-Q181-R181</f>
        <v>133287.48000000001</v>
      </c>
      <c r="R182" s="40"/>
      <c r="S182" s="25"/>
      <c r="T182" s="53"/>
      <c r="U182" s="25"/>
      <c r="V182" s="5"/>
    </row>
    <row r="183" spans="1:22" ht="16" thickBot="1" x14ac:dyDescent="0.4">
      <c r="A183" s="24"/>
      <c r="B183" s="25"/>
      <c r="C183" s="25"/>
      <c r="D183" s="25"/>
      <c r="E183" s="25"/>
      <c r="F183" s="25"/>
      <c r="G183" s="25"/>
      <c r="H183" s="25"/>
      <c r="I183" s="25"/>
      <c r="J183" s="25"/>
      <c r="K183" s="25"/>
      <c r="L183" s="25"/>
      <c r="M183" s="25"/>
      <c r="N183" s="25"/>
      <c r="O183" s="25"/>
      <c r="P183" s="25"/>
      <c r="Q183" s="25"/>
      <c r="R183" s="25"/>
      <c r="S183" s="25"/>
      <c r="T183" s="61"/>
      <c r="U183" s="25"/>
      <c r="V183" s="5"/>
    </row>
    <row r="184" spans="1:22" x14ac:dyDescent="0.35">
      <c r="A184" s="2"/>
      <c r="B184" s="4"/>
      <c r="C184" s="4"/>
      <c r="D184" s="4"/>
      <c r="E184" s="4"/>
      <c r="F184" s="4"/>
      <c r="G184" s="4"/>
      <c r="H184" s="4"/>
      <c r="I184" s="4"/>
      <c r="J184" s="4"/>
      <c r="K184" s="4"/>
      <c r="L184" s="4"/>
      <c r="M184" s="4"/>
      <c r="N184" s="4"/>
      <c r="O184" s="4"/>
      <c r="P184" s="4"/>
      <c r="Q184" s="4"/>
      <c r="R184" s="4"/>
      <c r="S184" s="4"/>
      <c r="T184" s="50"/>
      <c r="U184" s="4"/>
      <c r="V184" s="5"/>
    </row>
    <row r="185" spans="1:22" x14ac:dyDescent="0.35">
      <c r="A185" s="6"/>
      <c r="B185" s="119" t="s">
        <v>67</v>
      </c>
      <c r="C185" s="8"/>
      <c r="D185" s="8"/>
      <c r="E185" s="8"/>
      <c r="F185" s="8"/>
      <c r="G185" s="8"/>
      <c r="H185" s="8"/>
      <c r="I185" s="8"/>
      <c r="J185" s="8"/>
      <c r="K185" s="8"/>
      <c r="L185" s="8"/>
      <c r="M185" s="8"/>
      <c r="N185" s="8"/>
      <c r="O185" s="8"/>
      <c r="P185" s="8"/>
      <c r="Q185" s="8"/>
      <c r="R185" s="8"/>
      <c r="S185" s="8"/>
      <c r="T185" s="65"/>
      <c r="U185" s="8"/>
      <c r="V185" s="5"/>
    </row>
    <row r="186" spans="1:22" x14ac:dyDescent="0.35">
      <c r="A186" s="24"/>
      <c r="B186" s="25" t="s">
        <v>68</v>
      </c>
      <c r="C186" s="25"/>
      <c r="D186" s="25"/>
      <c r="E186" s="25"/>
      <c r="F186" s="25"/>
      <c r="G186" s="25"/>
      <c r="H186" s="25"/>
      <c r="I186" s="25"/>
      <c r="J186" s="25"/>
      <c r="K186" s="25"/>
      <c r="L186" s="25"/>
      <c r="M186" s="25"/>
      <c r="N186" s="25"/>
      <c r="O186" s="25"/>
      <c r="P186" s="25"/>
      <c r="Q186" s="25"/>
      <c r="R186" s="25"/>
      <c r="S186" s="25"/>
      <c r="T186" s="59">
        <f>(T100+T102+T103+T104+T105+T106)/-(T107+T108)</f>
        <v>1.4416597815110621</v>
      </c>
      <c r="U186" s="25" t="s">
        <v>122</v>
      </c>
      <c r="V186" s="5"/>
    </row>
    <row r="187" spans="1:22" x14ac:dyDescent="0.35">
      <c r="A187" s="24"/>
      <c r="B187" s="25" t="s">
        <v>69</v>
      </c>
      <c r="C187" s="25"/>
      <c r="D187" s="25"/>
      <c r="E187" s="25"/>
      <c r="F187" s="25"/>
      <c r="G187" s="25"/>
      <c r="H187" s="25"/>
      <c r="I187" s="25"/>
      <c r="J187" s="25"/>
      <c r="K187" s="25"/>
      <c r="L187" s="25"/>
      <c r="M187" s="25"/>
      <c r="N187" s="25"/>
      <c r="O187" s="25"/>
      <c r="P187" s="25"/>
      <c r="Q187" s="25"/>
      <c r="R187" s="25"/>
      <c r="S187" s="25"/>
      <c r="T187" s="66">
        <v>1.41</v>
      </c>
      <c r="U187" s="25" t="s">
        <v>122</v>
      </c>
      <c r="V187" s="5"/>
    </row>
    <row r="188" spans="1:22" x14ac:dyDescent="0.35">
      <c r="A188" s="24"/>
      <c r="B188" s="25" t="s">
        <v>70</v>
      </c>
      <c r="C188" s="25"/>
      <c r="D188" s="25"/>
      <c r="E188" s="25"/>
      <c r="F188" s="25"/>
      <c r="G188" s="25"/>
      <c r="H188" s="25"/>
      <c r="I188" s="25"/>
      <c r="J188" s="25"/>
      <c r="K188" s="25"/>
      <c r="L188" s="25"/>
      <c r="M188" s="25"/>
      <c r="N188" s="25"/>
      <c r="O188" s="25"/>
      <c r="P188" s="25"/>
      <c r="Q188" s="25"/>
      <c r="R188" s="25"/>
      <c r="S188" s="25"/>
      <c r="T188" s="59">
        <f>(T100+T102+T103+T104+T105+T106+T107+T108)/-(T109+T110)</f>
        <v>7.9258649093904445</v>
      </c>
      <c r="U188" s="25" t="s">
        <v>122</v>
      </c>
      <c r="V188" s="5"/>
    </row>
    <row r="189" spans="1:22" x14ac:dyDescent="0.35">
      <c r="A189" s="24"/>
      <c r="B189" s="25" t="s">
        <v>71</v>
      </c>
      <c r="C189" s="25"/>
      <c r="D189" s="25"/>
      <c r="E189" s="25"/>
      <c r="F189" s="25"/>
      <c r="G189" s="25"/>
      <c r="H189" s="25"/>
      <c r="I189" s="25"/>
      <c r="J189" s="25"/>
      <c r="K189" s="25"/>
      <c r="L189" s="25"/>
      <c r="M189" s="25"/>
      <c r="N189" s="25"/>
      <c r="O189" s="25"/>
      <c r="P189" s="25"/>
      <c r="Q189" s="25"/>
      <c r="R189" s="25"/>
      <c r="S189" s="25"/>
      <c r="T189" s="66">
        <v>7.69</v>
      </c>
      <c r="U189" s="25" t="s">
        <v>122</v>
      </c>
      <c r="V189" s="5"/>
    </row>
    <row r="190" spans="1:22" x14ac:dyDescent="0.35">
      <c r="A190" s="24"/>
      <c r="B190" s="25" t="s">
        <v>232</v>
      </c>
      <c r="C190" s="25"/>
      <c r="D190" s="25"/>
      <c r="E190" s="25"/>
      <c r="F190" s="25"/>
      <c r="G190" s="25"/>
      <c r="H190" s="25"/>
      <c r="I190" s="25"/>
      <c r="J190" s="25"/>
      <c r="K190" s="25"/>
      <c r="L190" s="25"/>
      <c r="M190" s="25"/>
      <c r="N190" s="25"/>
      <c r="O190" s="25"/>
      <c r="P190" s="25"/>
      <c r="Q190" s="25"/>
      <c r="R190" s="25"/>
      <c r="S190" s="25"/>
      <c r="T190" s="59">
        <f>(T100+T102+T103+T104+T105+T106+T107+T108+T109+T110)/-(T111+T112)</f>
        <v>4.1500493583415601</v>
      </c>
      <c r="U190" s="25" t="s">
        <v>122</v>
      </c>
      <c r="V190" s="5"/>
    </row>
    <row r="191" spans="1:22" x14ac:dyDescent="0.35">
      <c r="A191" s="24"/>
      <c r="B191" s="25" t="s">
        <v>233</v>
      </c>
      <c r="C191" s="25"/>
      <c r="D191" s="25"/>
      <c r="E191" s="25"/>
      <c r="F191" s="25"/>
      <c r="G191" s="25"/>
      <c r="H191" s="25"/>
      <c r="I191" s="25"/>
      <c r="J191" s="25"/>
      <c r="K191" s="25"/>
      <c r="L191" s="25"/>
      <c r="M191" s="25"/>
      <c r="N191" s="25"/>
      <c r="O191" s="25"/>
      <c r="P191" s="25"/>
      <c r="Q191" s="25"/>
      <c r="R191" s="25"/>
      <c r="S191" s="25"/>
      <c r="T191" s="66">
        <v>3.99</v>
      </c>
      <c r="U191" s="25" t="s">
        <v>122</v>
      </c>
      <c r="V191" s="5"/>
    </row>
    <row r="192" spans="1:22"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6"/>
      <c r="B194" s="8"/>
      <c r="C194" s="8"/>
      <c r="D194" s="8"/>
      <c r="E194" s="8"/>
      <c r="F194" s="8"/>
      <c r="G194" s="8"/>
      <c r="H194" s="8"/>
      <c r="I194" s="8"/>
      <c r="J194" s="8"/>
      <c r="K194" s="8"/>
      <c r="L194" s="8"/>
      <c r="M194" s="8"/>
      <c r="N194" s="8"/>
      <c r="O194" s="8"/>
      <c r="P194" s="8"/>
      <c r="Q194" s="8"/>
      <c r="R194" s="8"/>
      <c r="S194" s="8"/>
      <c r="T194" s="8"/>
      <c r="U194" s="8"/>
      <c r="V194" s="5"/>
    </row>
    <row r="195" spans="1:22" ht="18" thickBot="1" x14ac:dyDescent="0.4">
      <c r="A195" s="101"/>
      <c r="B195" s="102" t="str">
        <f>B135</f>
        <v>PM10 INVESTOR REPORT QUARTER ENDING FEBRUARY 2007</v>
      </c>
      <c r="C195" s="166"/>
      <c r="D195" s="166"/>
      <c r="E195" s="166"/>
      <c r="F195" s="166"/>
      <c r="G195" s="166"/>
      <c r="H195" s="166"/>
      <c r="I195" s="166"/>
      <c r="J195" s="166"/>
      <c r="K195" s="166"/>
      <c r="L195" s="166"/>
      <c r="M195" s="166"/>
      <c r="N195" s="166"/>
      <c r="O195" s="166"/>
      <c r="P195" s="166"/>
      <c r="Q195" s="166"/>
      <c r="R195" s="166"/>
      <c r="S195" s="166"/>
      <c r="T195" s="166"/>
      <c r="U195" s="167"/>
      <c r="V195" s="5"/>
    </row>
    <row r="196" spans="1:22" x14ac:dyDescent="0.35">
      <c r="A196" s="67"/>
      <c r="B196" s="60" t="s">
        <v>72</v>
      </c>
      <c r="C196" s="68"/>
      <c r="D196" s="68"/>
      <c r="E196" s="68"/>
      <c r="F196" s="68"/>
      <c r="G196" s="69"/>
      <c r="H196" s="69"/>
      <c r="I196" s="69"/>
      <c r="J196" s="69"/>
      <c r="K196" s="69"/>
      <c r="L196" s="69"/>
      <c r="M196" s="69"/>
      <c r="N196" s="69"/>
      <c r="O196" s="69"/>
      <c r="P196" s="69"/>
      <c r="Q196" s="69"/>
      <c r="R196" s="70">
        <v>39141</v>
      </c>
      <c r="S196" s="4"/>
      <c r="T196" s="4"/>
      <c r="U196" s="4"/>
      <c r="V196" s="5"/>
    </row>
    <row r="197" spans="1:22" x14ac:dyDescent="0.35">
      <c r="A197" s="71"/>
      <c r="B197" s="72"/>
      <c r="C197" s="73"/>
      <c r="D197" s="73"/>
      <c r="E197" s="73"/>
      <c r="F197" s="73"/>
      <c r="G197" s="74"/>
      <c r="H197" s="74"/>
      <c r="I197" s="74"/>
      <c r="J197" s="74"/>
      <c r="K197" s="74"/>
      <c r="L197" s="74"/>
      <c r="M197" s="74"/>
      <c r="N197" s="74"/>
      <c r="O197" s="74"/>
      <c r="P197" s="74"/>
      <c r="Q197" s="74"/>
      <c r="R197" s="74"/>
      <c r="S197" s="8"/>
      <c r="T197" s="8"/>
      <c r="U197" s="8"/>
      <c r="V197" s="5"/>
    </row>
    <row r="198" spans="1:22" x14ac:dyDescent="0.35">
      <c r="A198" s="75"/>
      <c r="B198" s="76" t="s">
        <v>73</v>
      </c>
      <c r="C198" s="77"/>
      <c r="D198" s="77"/>
      <c r="E198" s="77"/>
      <c r="F198" s="77"/>
      <c r="G198" s="64"/>
      <c r="H198" s="64"/>
      <c r="I198" s="64"/>
      <c r="J198" s="64"/>
      <c r="K198" s="64"/>
      <c r="L198" s="64"/>
      <c r="M198" s="64"/>
      <c r="N198" s="64"/>
      <c r="O198" s="64"/>
      <c r="P198" s="64"/>
      <c r="Q198" s="64"/>
      <c r="R198" s="78">
        <v>5.3960000000000001E-2</v>
      </c>
      <c r="S198" s="25"/>
      <c r="T198" s="25"/>
      <c r="U198" s="25"/>
      <c r="V198" s="5"/>
    </row>
    <row r="199" spans="1:22" x14ac:dyDescent="0.35">
      <c r="A199" s="75"/>
      <c r="B199" s="76" t="s">
        <v>159</v>
      </c>
      <c r="C199" s="77"/>
      <c r="D199" s="77"/>
      <c r="E199" s="77"/>
      <c r="F199" s="77"/>
      <c r="G199" s="64"/>
      <c r="H199" s="64"/>
      <c r="I199" s="64"/>
      <c r="J199" s="64"/>
      <c r="K199" s="64"/>
      <c r="L199" s="64"/>
      <c r="M199" s="64"/>
      <c r="N199" s="64"/>
      <c r="O199" s="64"/>
      <c r="P199" s="64"/>
      <c r="Q199" s="64"/>
      <c r="R199" s="39">
        <v>4.7399999999999998E-2</v>
      </c>
      <c r="S199" s="25"/>
      <c r="T199" s="25"/>
      <c r="U199" s="25"/>
      <c r="V199" s="5"/>
    </row>
    <row r="200" spans="1:22" x14ac:dyDescent="0.35">
      <c r="A200" s="75"/>
      <c r="B200" s="76" t="s">
        <v>74</v>
      </c>
      <c r="C200" s="77"/>
      <c r="D200" s="77"/>
      <c r="E200" s="77"/>
      <c r="F200" s="77"/>
      <c r="G200" s="64"/>
      <c r="H200" s="64"/>
      <c r="I200" s="64"/>
      <c r="J200" s="64"/>
      <c r="K200" s="64"/>
      <c r="L200" s="64"/>
      <c r="M200" s="64"/>
      <c r="N200" s="64"/>
      <c r="O200" s="64"/>
      <c r="P200" s="64"/>
      <c r="Q200" s="64"/>
      <c r="R200" s="78">
        <f>R198-R199</f>
        <v>6.5600000000000033E-3</v>
      </c>
      <c r="S200" s="25"/>
      <c r="T200" s="25"/>
      <c r="U200" s="25"/>
      <c r="V200" s="5"/>
    </row>
    <row r="201" spans="1:22" x14ac:dyDescent="0.35">
      <c r="A201" s="75"/>
      <c r="B201" s="76" t="s">
        <v>75</v>
      </c>
      <c r="C201" s="77"/>
      <c r="D201" s="77"/>
      <c r="E201" s="77"/>
      <c r="F201" s="77"/>
      <c r="G201" s="64"/>
      <c r="H201" s="64"/>
      <c r="I201" s="64"/>
      <c r="J201" s="64"/>
      <c r="K201" s="64"/>
      <c r="L201" s="64"/>
      <c r="M201" s="64"/>
      <c r="N201" s="64"/>
      <c r="O201" s="64"/>
      <c r="P201" s="64"/>
      <c r="Q201" s="64"/>
      <c r="R201" s="78">
        <v>5.5419999999999997E-2</v>
      </c>
      <c r="S201" s="25"/>
      <c r="T201" s="25"/>
      <c r="U201" s="25"/>
      <c r="V201" s="5"/>
    </row>
    <row r="202" spans="1:22" x14ac:dyDescent="0.35">
      <c r="A202" s="75"/>
      <c r="B202" s="76" t="s">
        <v>262</v>
      </c>
      <c r="C202" s="77"/>
      <c r="D202" s="77"/>
      <c r="E202" s="77"/>
      <c r="F202" s="77"/>
      <c r="G202" s="64"/>
      <c r="H202" s="64"/>
      <c r="I202" s="64"/>
      <c r="J202" s="64"/>
      <c r="K202" s="64"/>
      <c r="L202" s="64"/>
      <c r="M202" s="64"/>
      <c r="N202" s="64"/>
      <c r="O202" s="64"/>
      <c r="P202" s="64"/>
      <c r="Q202" s="64"/>
      <c r="R202" s="78">
        <f>T43</f>
        <v>5.4005190735474065E-2</v>
      </c>
      <c r="S202" s="25"/>
      <c r="T202" s="25"/>
      <c r="U202" s="25"/>
      <c r="V202" s="5"/>
    </row>
    <row r="203" spans="1:22" x14ac:dyDescent="0.35">
      <c r="A203" s="75"/>
      <c r="B203" s="76" t="s">
        <v>76</v>
      </c>
      <c r="C203" s="77"/>
      <c r="D203" s="77"/>
      <c r="E203" s="77"/>
      <c r="F203" s="77"/>
      <c r="G203" s="64"/>
      <c r="H203" s="64"/>
      <c r="I203" s="64"/>
      <c r="J203" s="64"/>
      <c r="K203" s="64"/>
      <c r="L203" s="64"/>
      <c r="M203" s="64"/>
      <c r="N203" s="64"/>
      <c r="O203" s="64"/>
      <c r="P203" s="64"/>
      <c r="Q203" s="64"/>
      <c r="R203" s="78">
        <f>R201-R202</f>
        <v>1.4148092645259319E-3</v>
      </c>
      <c r="S203" s="25"/>
      <c r="T203" s="25"/>
      <c r="U203" s="25"/>
      <c r="V203" s="5"/>
    </row>
    <row r="204" spans="1:22" x14ac:dyDescent="0.35">
      <c r="A204" s="75"/>
      <c r="B204" s="76" t="s">
        <v>269</v>
      </c>
      <c r="C204" s="77"/>
      <c r="D204" s="77"/>
      <c r="E204" s="77"/>
      <c r="F204" s="77"/>
      <c r="G204" s="64"/>
      <c r="H204" s="64"/>
      <c r="I204" s="64"/>
      <c r="J204" s="64"/>
      <c r="K204" s="64"/>
      <c r="L204" s="64"/>
      <c r="M204" s="64"/>
      <c r="N204" s="64"/>
      <c r="O204" s="64"/>
      <c r="P204" s="64"/>
      <c r="Q204" s="64"/>
      <c r="R204" s="78">
        <f>+T100/L69</f>
        <v>1.7102357679885494E-2</v>
      </c>
      <c r="S204" s="25"/>
      <c r="T204" s="25"/>
      <c r="U204" s="25"/>
      <c r="V204" s="5"/>
    </row>
    <row r="205" spans="1:22" x14ac:dyDescent="0.35">
      <c r="A205" s="75"/>
      <c r="B205" s="76" t="s">
        <v>251</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252</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253</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77</v>
      </c>
      <c r="C208" s="77"/>
      <c r="D208" s="77"/>
      <c r="E208" s="77"/>
      <c r="F208" s="77"/>
      <c r="G208" s="64"/>
      <c r="H208" s="64"/>
      <c r="I208" s="64"/>
      <c r="J208" s="64"/>
      <c r="K208" s="64"/>
      <c r="L208" s="64"/>
      <c r="M208" s="64"/>
      <c r="N208" s="64"/>
      <c r="O208" s="64"/>
      <c r="P208" s="64"/>
      <c r="Q208" s="64"/>
      <c r="R208" s="134">
        <v>21.48</v>
      </c>
      <c r="S208" s="25" t="s">
        <v>117</v>
      </c>
      <c r="T208" s="25"/>
      <c r="U208" s="25"/>
      <c r="V208" s="5"/>
    </row>
    <row r="209" spans="1:22" x14ac:dyDescent="0.35">
      <c r="A209" s="75"/>
      <c r="B209" s="76" t="s">
        <v>78</v>
      </c>
      <c r="C209" s="77"/>
      <c r="D209" s="77"/>
      <c r="E209" s="77"/>
      <c r="F209" s="77"/>
      <c r="G209" s="64"/>
      <c r="H209" s="64"/>
      <c r="I209" s="64"/>
      <c r="J209" s="64"/>
      <c r="K209" s="64"/>
      <c r="L209" s="64"/>
      <c r="M209" s="64"/>
      <c r="N209" s="64"/>
      <c r="O209" s="64"/>
      <c r="P209" s="64"/>
      <c r="Q209" s="64"/>
      <c r="R209" s="134">
        <v>20.309999999999999</v>
      </c>
      <c r="S209" s="25" t="s">
        <v>117</v>
      </c>
      <c r="T209" s="25"/>
      <c r="U209" s="25"/>
      <c r="V209" s="5"/>
    </row>
    <row r="210" spans="1:22" x14ac:dyDescent="0.35">
      <c r="A210" s="75"/>
      <c r="B210" s="76" t="s">
        <v>79</v>
      </c>
      <c r="C210" s="77"/>
      <c r="D210" s="77"/>
      <c r="E210" s="77"/>
      <c r="F210" s="77"/>
      <c r="G210" s="64"/>
      <c r="H210" s="64"/>
      <c r="I210" s="64"/>
      <c r="J210" s="64"/>
      <c r="K210" s="64"/>
      <c r="L210" s="64"/>
      <c r="M210" s="64"/>
      <c r="N210" s="64"/>
      <c r="O210" s="64"/>
      <c r="P210" s="64"/>
      <c r="Q210" s="64"/>
      <c r="R210" s="78">
        <f>+N69/L69</f>
        <v>2.2252965057811311E-2</v>
      </c>
      <c r="S210" s="25"/>
      <c r="T210" s="25"/>
      <c r="U210" s="25"/>
      <c r="V210" s="5"/>
    </row>
    <row r="211" spans="1:22" x14ac:dyDescent="0.35">
      <c r="A211" s="75"/>
      <c r="B211" s="76" t="s">
        <v>80</v>
      </c>
      <c r="C211" s="77"/>
      <c r="D211" s="77"/>
      <c r="E211" s="77"/>
      <c r="F211" s="77"/>
      <c r="G211" s="64"/>
      <c r="H211" s="64"/>
      <c r="I211" s="64"/>
      <c r="J211" s="64"/>
      <c r="K211" s="64"/>
      <c r="L211" s="64"/>
      <c r="M211" s="64"/>
      <c r="N211" s="64"/>
      <c r="O211" s="64"/>
      <c r="P211" s="64"/>
      <c r="Q211" s="64"/>
      <c r="R211" s="78">
        <v>7.8899999999999998E-2</v>
      </c>
      <c r="S211" s="25"/>
      <c r="T211" s="25"/>
      <c r="U211" s="25"/>
      <c r="V211" s="5"/>
    </row>
    <row r="212" spans="1:22" x14ac:dyDescent="0.35">
      <c r="A212" s="75"/>
      <c r="B212" s="76"/>
      <c r="C212" s="76"/>
      <c r="D212" s="76"/>
      <c r="E212" s="76"/>
      <c r="F212" s="76"/>
      <c r="G212" s="25"/>
      <c r="H212" s="25"/>
      <c r="I212" s="25"/>
      <c r="J212" s="25"/>
      <c r="K212" s="25"/>
      <c r="L212" s="25"/>
      <c r="M212" s="25"/>
      <c r="N212" s="25"/>
      <c r="O212" s="25"/>
      <c r="P212" s="25"/>
      <c r="Q212" s="25"/>
      <c r="R212" s="61"/>
      <c r="S212" s="25"/>
      <c r="T212" s="79"/>
      <c r="U212" s="25"/>
      <c r="V212" s="5"/>
    </row>
    <row r="213" spans="1:22" x14ac:dyDescent="0.35">
      <c r="A213" s="80"/>
      <c r="B213" s="14" t="s">
        <v>81</v>
      </c>
      <c r="C213" s="81"/>
      <c r="D213" s="81"/>
      <c r="E213" s="81"/>
      <c r="F213" s="82"/>
      <c r="G213" s="81"/>
      <c r="H213" s="17"/>
      <c r="I213" s="17"/>
      <c r="J213" s="17"/>
      <c r="K213" s="17"/>
      <c r="L213" s="17"/>
      <c r="M213" s="17"/>
      <c r="N213" s="17"/>
      <c r="O213" s="17"/>
      <c r="P213" s="17"/>
      <c r="Q213" s="17" t="s">
        <v>106</v>
      </c>
      <c r="R213" s="83" t="s">
        <v>113</v>
      </c>
      <c r="S213" s="8"/>
      <c r="T213" s="8"/>
      <c r="U213" s="8"/>
      <c r="V213" s="5"/>
    </row>
    <row r="214" spans="1:22" x14ac:dyDescent="0.35">
      <c r="A214" s="84"/>
      <c r="B214" s="76" t="s">
        <v>82</v>
      </c>
      <c r="C214" s="54"/>
      <c r="D214" s="54"/>
      <c r="E214" s="54"/>
      <c r="F214" s="25"/>
      <c r="G214" s="25"/>
      <c r="H214" s="30"/>
      <c r="I214" s="30"/>
      <c r="J214" s="30"/>
      <c r="K214" s="30"/>
      <c r="L214" s="30"/>
      <c r="M214" s="30"/>
      <c r="N214" s="30"/>
      <c r="O214" s="30"/>
      <c r="P214" s="30"/>
      <c r="Q214" s="30">
        <v>0</v>
      </c>
      <c r="R214" s="85">
        <v>0</v>
      </c>
      <c r="S214" s="25"/>
      <c r="T214" s="79"/>
      <c r="U214" s="86"/>
      <c r="V214" s="5"/>
    </row>
    <row r="215" spans="1:22" x14ac:dyDescent="0.35">
      <c r="A215" s="84"/>
      <c r="B215" s="76" t="s">
        <v>152</v>
      </c>
      <c r="C215" s="54"/>
      <c r="D215" s="54"/>
      <c r="E215" s="54"/>
      <c r="F215" s="25"/>
      <c r="G215" s="25"/>
      <c r="H215" s="30"/>
      <c r="I215" s="30"/>
      <c r="J215" s="30"/>
      <c r="K215" s="30"/>
      <c r="L215" s="30"/>
      <c r="M215" s="30"/>
      <c r="N215" s="30"/>
      <c r="O215" s="30"/>
      <c r="P215" s="30"/>
      <c r="Q215" s="153">
        <f>+P256</f>
        <v>37</v>
      </c>
      <c r="R215" s="85">
        <f>+R256</f>
        <v>6685</v>
      </c>
      <c r="S215" s="25"/>
      <c r="T215" s="79"/>
      <c r="U215" s="86"/>
      <c r="V215" s="5"/>
    </row>
    <row r="216" spans="1:22" x14ac:dyDescent="0.35">
      <c r="A216" s="84"/>
      <c r="B216" s="76" t="s">
        <v>83</v>
      </c>
      <c r="C216" s="54"/>
      <c r="D216" s="54"/>
      <c r="E216" s="54"/>
      <c r="F216" s="25"/>
      <c r="G216" s="25"/>
      <c r="H216" s="30"/>
      <c r="I216" s="30"/>
      <c r="J216" s="30"/>
      <c r="K216" s="30"/>
      <c r="L216" s="30"/>
      <c r="M216" s="30"/>
      <c r="N216" s="30"/>
      <c r="O216" s="30"/>
      <c r="P216" s="30"/>
      <c r="Q216" s="30">
        <v>0</v>
      </c>
      <c r="R216" s="85">
        <v>0</v>
      </c>
      <c r="S216" s="25"/>
      <c r="T216" s="79"/>
      <c r="U216" s="86"/>
      <c r="V216" s="5"/>
    </row>
    <row r="217" spans="1:22" x14ac:dyDescent="0.35">
      <c r="A217" s="84"/>
      <c r="B217" s="122" t="s">
        <v>84</v>
      </c>
      <c r="C217" s="54"/>
      <c r="D217" s="54"/>
      <c r="E217" s="54"/>
      <c r="F217" s="25"/>
      <c r="G217" s="25"/>
      <c r="H217" s="25"/>
      <c r="I217" s="25"/>
      <c r="J217" s="25"/>
      <c r="K217" s="25"/>
      <c r="L217" s="25"/>
      <c r="M217" s="25"/>
      <c r="N217" s="25"/>
      <c r="O217" s="25"/>
      <c r="P217" s="25"/>
      <c r="Q217" s="25"/>
      <c r="R217" s="85">
        <v>0</v>
      </c>
      <c r="S217" s="25"/>
      <c r="T217" s="79"/>
      <c r="U217" s="86"/>
      <c r="V217" s="5"/>
    </row>
    <row r="218" spans="1:22" x14ac:dyDescent="0.35">
      <c r="A218" s="84"/>
      <c r="B218" s="122" t="s">
        <v>85</v>
      </c>
      <c r="C218" s="54"/>
      <c r="D218" s="54"/>
      <c r="E218" s="54"/>
      <c r="F218" s="25"/>
      <c r="G218" s="25"/>
      <c r="H218" s="25"/>
      <c r="I218" s="25"/>
      <c r="J218" s="25"/>
      <c r="K218" s="25"/>
      <c r="L218" s="25"/>
      <c r="M218" s="25"/>
      <c r="N218" s="25"/>
      <c r="O218" s="25"/>
      <c r="P218" s="25"/>
      <c r="Q218" s="25"/>
      <c r="R218" s="62" t="s">
        <v>114</v>
      </c>
      <c r="S218" s="25"/>
      <c r="T218" s="79"/>
      <c r="U218" s="86"/>
      <c r="V218" s="5"/>
    </row>
    <row r="219" spans="1:22" x14ac:dyDescent="0.35">
      <c r="A219" s="87"/>
      <c r="B219" s="122" t="s">
        <v>86</v>
      </c>
      <c r="C219" s="76"/>
      <c r="D219" s="76"/>
      <c r="E219" s="76"/>
      <c r="F219" s="76"/>
      <c r="G219" s="25"/>
      <c r="H219" s="25"/>
      <c r="I219" s="25"/>
      <c r="J219" s="25"/>
      <c r="K219" s="25"/>
      <c r="L219" s="25"/>
      <c r="M219" s="25"/>
      <c r="N219" s="25"/>
      <c r="O219" s="25"/>
      <c r="P219" s="25"/>
      <c r="Q219" s="25"/>
      <c r="R219" s="85"/>
      <c r="S219" s="25"/>
      <c r="T219" s="79"/>
      <c r="U219" s="88"/>
      <c r="V219" s="5"/>
    </row>
    <row r="220" spans="1:22" x14ac:dyDescent="0.35">
      <c r="A220" s="87"/>
      <c r="B220" s="132" t="s">
        <v>87</v>
      </c>
      <c r="C220" s="76"/>
      <c r="D220" s="76"/>
      <c r="E220" s="76"/>
      <c r="F220" s="76"/>
      <c r="G220" s="25"/>
      <c r="H220" s="25"/>
      <c r="I220" s="25"/>
      <c r="J220" s="25"/>
      <c r="K220" s="25"/>
      <c r="L220" s="25"/>
      <c r="M220" s="25"/>
      <c r="N220" s="25"/>
      <c r="O220" s="25"/>
      <c r="P220" s="25"/>
      <c r="Q220" s="30"/>
      <c r="R220" s="85">
        <v>1</v>
      </c>
      <c r="S220" s="25"/>
      <c r="T220" s="79"/>
      <c r="U220" s="88"/>
      <c r="V220" s="5"/>
    </row>
    <row r="221" spans="1:22" x14ac:dyDescent="0.35">
      <c r="A221" s="84"/>
      <c r="B221" s="76" t="s">
        <v>88</v>
      </c>
      <c r="C221" s="54"/>
      <c r="D221" s="54"/>
      <c r="E221" s="54"/>
      <c r="F221" s="54"/>
      <c r="G221" s="25"/>
      <c r="H221" s="25"/>
      <c r="I221" s="25"/>
      <c r="J221" s="25"/>
      <c r="K221" s="25"/>
      <c r="L221" s="25"/>
      <c r="M221" s="25"/>
      <c r="N221" s="25"/>
      <c r="O221" s="25"/>
      <c r="P221" s="25"/>
      <c r="Q221" s="85"/>
      <c r="R221" s="85">
        <f>'Nov 06'!R220+R220</f>
        <v>1</v>
      </c>
      <c r="S221" s="25"/>
      <c r="T221" s="79"/>
      <c r="U221" s="88"/>
      <c r="V221" s="5"/>
    </row>
    <row r="222" spans="1:22" x14ac:dyDescent="0.35">
      <c r="A222" s="84"/>
      <c r="B222" s="76" t="s">
        <v>89</v>
      </c>
      <c r="C222" s="54"/>
      <c r="D222" s="54"/>
      <c r="E222" s="54"/>
      <c r="F222" s="54"/>
      <c r="G222" s="25"/>
      <c r="H222" s="25"/>
      <c r="I222" s="25"/>
      <c r="J222" s="25"/>
      <c r="K222" s="25"/>
      <c r="L222" s="25"/>
      <c r="M222" s="25"/>
      <c r="N222" s="25"/>
      <c r="O222" s="25"/>
      <c r="P222" s="25"/>
      <c r="Q222" s="30"/>
      <c r="R222" s="85">
        <v>1</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0</v>
      </c>
      <c r="R228" s="85">
        <v>0</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0</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6852</v>
      </c>
      <c r="Q235" s="94">
        <f t="shared" ref="Q235:Q242" si="1">P235/$P$244</f>
        <v>0.99376359680928206</v>
      </c>
      <c r="R235" s="53">
        <v>909312</v>
      </c>
      <c r="S235" s="133">
        <f t="shared" ref="S235:S242" si="2">R235/$R$244</f>
        <v>0.99163560462473632</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32</v>
      </c>
      <c r="Q236" s="94">
        <f t="shared" si="1"/>
        <v>4.641044234952864E-3</v>
      </c>
      <c r="R236" s="53">
        <v>5978</v>
      </c>
      <c r="S236" s="133">
        <f t="shared" si="2"/>
        <v>6.5192119365483732E-3</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8</v>
      </c>
      <c r="Q237" s="94">
        <f t="shared" si="1"/>
        <v>1.160261058738216E-3</v>
      </c>
      <c r="R237" s="53">
        <v>1160</v>
      </c>
      <c r="S237" s="133">
        <f t="shared" si="2"/>
        <v>1.2650193787882423E-3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2</v>
      </c>
      <c r="Q238" s="94">
        <f t="shared" si="1"/>
        <v>2.90065264684554E-4</v>
      </c>
      <c r="R238" s="53">
        <v>319</v>
      </c>
      <c r="S238" s="133">
        <f t="shared" si="2"/>
        <v>3.4788032916676661E-4</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1</v>
      </c>
      <c r="Q239" s="94">
        <f t="shared" si="1"/>
        <v>1.45032632342277E-4</v>
      </c>
      <c r="R239" s="53">
        <v>213</v>
      </c>
      <c r="S239" s="133">
        <f t="shared" si="2"/>
        <v>2.3228373076025484E-4</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6895</v>
      </c>
      <c r="Q244" s="133">
        <f>SUM(Q235:Q243)</f>
        <v>0.99999999999999989</v>
      </c>
      <c r="R244" s="53">
        <f>SUM(R235:R243)</f>
        <v>916982</v>
      </c>
      <c r="S244" s="133">
        <f>SUM(S235:S243)</f>
        <v>0.99999999999999989</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172</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5</v>
      </c>
      <c r="Q247" s="94">
        <f t="shared" ref="Q247:Q254" si="3">P247/$P$256</f>
        <v>0.13513513513513514</v>
      </c>
      <c r="R247" s="53">
        <v>793</v>
      </c>
      <c r="S247" s="133">
        <f t="shared" ref="S247:S254" si="4">R247/$R$256</f>
        <v>0.11862378459237098</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3</v>
      </c>
      <c r="Q248" s="94">
        <f t="shared" si="3"/>
        <v>8.1081081081081086E-2</v>
      </c>
      <c r="R248" s="53">
        <v>358</v>
      </c>
      <c r="S248" s="133">
        <f t="shared" si="4"/>
        <v>5.3552729992520566E-2</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1</v>
      </c>
      <c r="Q249" s="94">
        <f t="shared" si="3"/>
        <v>2.7027027027027029E-2</v>
      </c>
      <c r="R249" s="53">
        <v>142</v>
      </c>
      <c r="S249" s="133">
        <f t="shared" si="4"/>
        <v>2.1241585639491398E-2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7</v>
      </c>
      <c r="Q250" s="94">
        <f t="shared" si="3"/>
        <v>0.1891891891891892</v>
      </c>
      <c r="R250" s="53">
        <v>1799</v>
      </c>
      <c r="S250" s="133">
        <f t="shared" si="4"/>
        <v>0.26910994764397905</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0</v>
      </c>
      <c r="Q251" s="94">
        <f t="shared" si="3"/>
        <v>0</v>
      </c>
      <c r="R251" s="53">
        <v>0</v>
      </c>
      <c r="S251" s="133">
        <f t="shared" si="4"/>
        <v>0</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0</v>
      </c>
      <c r="Q252" s="94">
        <f t="shared" si="3"/>
        <v>0</v>
      </c>
      <c r="R252" s="53">
        <v>0</v>
      </c>
      <c r="S252" s="133">
        <f t="shared" si="4"/>
        <v>0</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10</v>
      </c>
      <c r="Q253" s="94">
        <f t="shared" si="3"/>
        <v>0.27027027027027029</v>
      </c>
      <c r="R253" s="53">
        <v>2129</v>
      </c>
      <c r="S253" s="133">
        <f t="shared" si="4"/>
        <v>0.31847419596110693</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11</v>
      </c>
      <c r="Q254" s="94">
        <f t="shared" si="3"/>
        <v>0.29729729729729731</v>
      </c>
      <c r="R254" s="53">
        <v>1464</v>
      </c>
      <c r="S254" s="133">
        <f t="shared" si="4"/>
        <v>0.21899775617053105</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37</v>
      </c>
      <c r="Q256" s="133">
        <f>SUM(Q247:Q255)</f>
        <v>1</v>
      </c>
      <c r="R256" s="53">
        <f>SUM(R247:R255)</f>
        <v>6685</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6932</v>
      </c>
      <c r="Q270" s="144"/>
      <c r="R270" s="145">
        <f>+R268+R256+R244</f>
        <v>923667</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3" t="s">
        <v>96</v>
      </c>
      <c r="C274" s="13"/>
      <c r="D274" s="13"/>
      <c r="E274" s="13"/>
      <c r="F274" s="131" t="s">
        <v>155</v>
      </c>
      <c r="G274" s="13"/>
      <c r="H274" s="13" t="s">
        <v>160</v>
      </c>
      <c r="I274" s="163"/>
      <c r="J274" s="163"/>
      <c r="K274" s="163"/>
      <c r="L274" s="163"/>
      <c r="M274" s="163"/>
      <c r="N274" s="163"/>
      <c r="O274" s="163"/>
      <c r="P274" s="163"/>
      <c r="Q274" s="163"/>
      <c r="R274" s="163"/>
      <c r="S274" s="163"/>
      <c r="T274" s="163"/>
      <c r="U274" s="163"/>
      <c r="V274" s="5"/>
    </row>
    <row r="275" spans="1:22" x14ac:dyDescent="0.35">
      <c r="A275" s="168"/>
      <c r="B275" s="13" t="s">
        <v>277</v>
      </c>
      <c r="C275" s="13"/>
      <c r="D275" s="13"/>
      <c r="E275" s="13"/>
      <c r="F275" s="131" t="s">
        <v>278</v>
      </c>
      <c r="G275" s="13"/>
      <c r="H275" s="13" t="s">
        <v>279</v>
      </c>
      <c r="I275" s="163"/>
      <c r="J275" s="163"/>
      <c r="K275" s="163"/>
      <c r="L275" s="163"/>
      <c r="M275" s="163"/>
      <c r="N275" s="163"/>
      <c r="O275" s="163"/>
      <c r="P275" s="163"/>
      <c r="Q275" s="163"/>
      <c r="R275" s="163"/>
      <c r="S275" s="163"/>
      <c r="T275" s="163"/>
      <c r="U275" s="163"/>
      <c r="V275" s="5"/>
    </row>
    <row r="276" spans="1:22" x14ac:dyDescent="0.35">
      <c r="A276" s="168"/>
      <c r="B276" s="13" t="s">
        <v>97</v>
      </c>
      <c r="C276" s="13"/>
      <c r="D276" s="13"/>
      <c r="E276" s="13"/>
      <c r="F276" s="131" t="s">
        <v>154</v>
      </c>
      <c r="G276" s="13"/>
      <c r="H276" s="13" t="s">
        <v>161</v>
      </c>
      <c r="I276" s="163"/>
      <c r="J276" s="163"/>
      <c r="K276" s="163"/>
      <c r="L276" s="163"/>
      <c r="M276" s="163"/>
      <c r="N276" s="163"/>
      <c r="O276" s="163"/>
      <c r="P276" s="163"/>
      <c r="Q276" s="163"/>
      <c r="R276" s="163"/>
      <c r="S276" s="163"/>
      <c r="T276" s="163"/>
      <c r="U276" s="163"/>
      <c r="V276" s="5"/>
    </row>
    <row r="277" spans="1:22" x14ac:dyDescent="0.35">
      <c r="A277" s="168"/>
      <c r="B277" s="13"/>
      <c r="C277" s="13"/>
      <c r="D277" s="13"/>
      <c r="E277" s="13"/>
      <c r="F277" s="13"/>
      <c r="G277" s="99"/>
      <c r="H277" s="163"/>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ht="18" thickBot="1" x14ac:dyDescent="0.4">
      <c r="A279" s="168"/>
      <c r="B279" s="49" t="str">
        <f>B195</f>
        <v>PM10 INVESTOR REPORT QUARTER ENDING FEBRUARY 2007</v>
      </c>
      <c r="C279" s="13"/>
      <c r="D279" s="13"/>
      <c r="E279" s="13"/>
      <c r="F279" s="13"/>
      <c r="G279" s="99"/>
      <c r="H279" s="163"/>
      <c r="I279" s="163"/>
      <c r="J279" s="163"/>
      <c r="K279" s="163"/>
      <c r="L279" s="163"/>
      <c r="M279" s="163"/>
      <c r="N279" s="163"/>
      <c r="O279" s="163"/>
      <c r="P279" s="163"/>
      <c r="Q279" s="163"/>
      <c r="R279" s="163"/>
      <c r="S279" s="163"/>
      <c r="T279" s="163"/>
      <c r="U279" s="163"/>
      <c r="V279" s="5"/>
    </row>
    <row r="280" spans="1:22" x14ac:dyDescent="0.35">
      <c r="A280" s="100"/>
      <c r="B280" s="100"/>
      <c r="C280" s="100"/>
      <c r="D280" s="100"/>
      <c r="E280" s="100"/>
      <c r="F280" s="100"/>
      <c r="G280" s="100"/>
      <c r="H280" s="100"/>
      <c r="I280" s="100"/>
      <c r="J280" s="100"/>
      <c r="K280" s="100"/>
      <c r="L280" s="100"/>
      <c r="M280" s="100"/>
      <c r="N280" s="100"/>
      <c r="O280" s="100"/>
      <c r="P280" s="100"/>
      <c r="Q280" s="100"/>
      <c r="R280" s="100"/>
      <c r="S280" s="100"/>
      <c r="T280" s="100"/>
      <c r="U280" s="100"/>
    </row>
  </sheetData>
  <phoneticPr fontId="0" type="noConversion"/>
  <hyperlinks>
    <hyperlink ref="J9" r:id="rId1" xr:uid="{00000000-0004-0000-0400-000000000000}"/>
    <hyperlink ref="N232" r:id="rId2" xr:uid="{00000000-0004-0000-0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5" max="14" man="1"/>
    <brk id="195"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89CB31"/>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0.68779999999999997</v>
      </c>
      <c r="R16" s="514" t="s">
        <v>147</v>
      </c>
      <c r="S16" s="513">
        <v>0.31219999999999998</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43272</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17474.2909248</v>
      </c>
      <c r="E32" s="528"/>
      <c r="F32" s="529">
        <f>F31*F38</f>
        <v>105000</v>
      </c>
      <c r="G32" s="529"/>
      <c r="H32" s="533">
        <f>H31*H38</f>
        <v>222000</v>
      </c>
      <c r="I32" s="529"/>
      <c r="J32" s="529">
        <f>J31*J38</f>
        <v>21957.690599999998</v>
      </c>
      <c r="K32" s="529"/>
      <c r="L32" s="533">
        <f>L31*L38</f>
        <v>13812.0957</v>
      </c>
      <c r="M32" s="529"/>
      <c r="N32" s="534">
        <f>N31*N38</f>
        <v>36478.098899999997</v>
      </c>
      <c r="O32" s="529"/>
      <c r="P32" s="533">
        <f>P31*P38</f>
        <v>19478.5965</v>
      </c>
      <c r="Q32" s="529"/>
      <c r="R32" s="529"/>
      <c r="S32" s="528"/>
      <c r="T32" s="529"/>
      <c r="U32" s="530"/>
      <c r="V32" s="506"/>
    </row>
    <row r="33" spans="1:26" s="507" customFormat="1" x14ac:dyDescent="0.35">
      <c r="A33" s="520"/>
      <c r="B33" s="526" t="s">
        <v>141</v>
      </c>
      <c r="C33" s="528"/>
      <c r="D33" s="536">
        <f>D34*D37</f>
        <v>13910.933579999999</v>
      </c>
      <c r="E33" s="531"/>
      <c r="F33" s="535">
        <f>F37*F31</f>
        <v>105000</v>
      </c>
      <c r="G33" s="535"/>
      <c r="H33" s="537">
        <f>H31*H37</f>
        <v>222000</v>
      </c>
      <c r="I33" s="535"/>
      <c r="J33" s="535">
        <f>J31*J37</f>
        <v>21670.5314</v>
      </c>
      <c r="K33" s="535"/>
      <c r="L33" s="537">
        <f>L31*L37</f>
        <v>13631.463300000001</v>
      </c>
      <c r="M33" s="535"/>
      <c r="N33" s="535">
        <f>N31*N37</f>
        <v>36001.044099999999</v>
      </c>
      <c r="O33" s="535"/>
      <c r="P33" s="537">
        <f>P31*P37</f>
        <v>19223.858500000002</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17474.2909248</v>
      </c>
      <c r="E35" s="528"/>
      <c r="F35" s="529">
        <f>F34*F38</f>
        <v>105000</v>
      </c>
      <c r="G35" s="529"/>
      <c r="H35" s="529">
        <f>H34*H38</f>
        <v>150000</v>
      </c>
      <c r="I35" s="529"/>
      <c r="J35" s="529">
        <f>J32</f>
        <v>21957.690599999998</v>
      </c>
      <c r="K35" s="529"/>
      <c r="L35" s="529">
        <f>L34*L38</f>
        <v>9332.7268175999998</v>
      </c>
      <c r="M35" s="529"/>
      <c r="N35" s="529">
        <f>N32</f>
        <v>36478.098899999997</v>
      </c>
      <c r="O35" s="529"/>
      <c r="P35" s="529">
        <f>P34*P38</f>
        <v>13161.156420599998</v>
      </c>
      <c r="Q35" s="529"/>
      <c r="R35" s="529"/>
      <c r="S35" s="528"/>
      <c r="T35" s="529">
        <f>SUM(C35:P35)</f>
        <v>353403.96366299997</v>
      </c>
      <c r="U35" s="530"/>
      <c r="V35" s="506"/>
      <c r="X35" s="538"/>
      <c r="Z35" s="538"/>
    </row>
    <row r="36" spans="1:26" s="507" customFormat="1" x14ac:dyDescent="0.35">
      <c r="A36" s="524"/>
      <c r="B36" s="526" t="s">
        <v>298</v>
      </c>
      <c r="C36" s="531"/>
      <c r="D36" s="535">
        <f>D37*D34</f>
        <v>13910.933579999999</v>
      </c>
      <c r="E36" s="531"/>
      <c r="F36" s="535">
        <f>F37*F34</f>
        <v>105000</v>
      </c>
      <c r="G36" s="535"/>
      <c r="H36" s="535">
        <f>H37*H34</f>
        <v>150000</v>
      </c>
      <c r="I36" s="535"/>
      <c r="J36" s="535">
        <f>J37*J34</f>
        <v>21670.5314</v>
      </c>
      <c r="K36" s="535"/>
      <c r="L36" s="535">
        <f>L37*L34</f>
        <v>9210.674894400001</v>
      </c>
      <c r="M36" s="535"/>
      <c r="N36" s="535">
        <f>N37*N34</f>
        <v>36001.044099999999</v>
      </c>
      <c r="O36" s="535"/>
      <c r="P36" s="535">
        <f>P34*P37</f>
        <v>12989.036901400001</v>
      </c>
      <c r="Q36" s="539"/>
      <c r="R36" s="539"/>
      <c r="S36" s="528"/>
      <c r="T36" s="535">
        <f>SUM(C36:P36)</f>
        <v>348782.22087580001</v>
      </c>
      <c r="U36" s="530"/>
      <c r="V36" s="506"/>
      <c r="X36" s="538"/>
      <c r="Z36" s="538"/>
    </row>
    <row r="37" spans="1:26" s="491" customFormat="1" x14ac:dyDescent="0.35">
      <c r="A37" s="492"/>
      <c r="B37" s="479" t="s">
        <v>137</v>
      </c>
      <c r="C37" s="493"/>
      <c r="D37" s="494">
        <v>2.20425E-2</v>
      </c>
      <c r="E37" s="495"/>
      <c r="F37" s="494">
        <v>1</v>
      </c>
      <c r="G37" s="494"/>
      <c r="H37" s="494">
        <v>1</v>
      </c>
      <c r="I37" s="494"/>
      <c r="J37" s="494">
        <v>0.69904940000000004</v>
      </c>
      <c r="K37" s="494"/>
      <c r="L37" s="494">
        <v>0.69904940000000004</v>
      </c>
      <c r="M37" s="494"/>
      <c r="N37" s="494">
        <v>0.69904940000000004</v>
      </c>
      <c r="O37" s="494"/>
      <c r="P37" s="494">
        <v>0.69904940000000004</v>
      </c>
      <c r="Q37" s="496"/>
      <c r="R37" s="496"/>
      <c r="S37" s="493"/>
      <c r="T37" s="493"/>
      <c r="U37" s="497"/>
      <c r="V37" s="490"/>
    </row>
    <row r="38" spans="1:26" s="491" customFormat="1" x14ac:dyDescent="0.35">
      <c r="A38" s="492"/>
      <c r="B38" s="479" t="s">
        <v>138</v>
      </c>
      <c r="C38" s="493"/>
      <c r="D38" s="494">
        <v>2.76888E-2</v>
      </c>
      <c r="E38" s="495"/>
      <c r="F38" s="494">
        <v>1</v>
      </c>
      <c r="G38" s="494"/>
      <c r="H38" s="494">
        <v>1</v>
      </c>
      <c r="I38" s="494"/>
      <c r="J38" s="494">
        <v>0.70831259999999996</v>
      </c>
      <c r="K38" s="494"/>
      <c r="L38" s="494">
        <v>0.70831259999999996</v>
      </c>
      <c r="M38" s="494"/>
      <c r="N38" s="494">
        <v>0.70831259999999996</v>
      </c>
      <c r="O38" s="494"/>
      <c r="P38" s="494">
        <v>0.70831259999999996</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6.9591000000000002E-3</v>
      </c>
      <c r="E40" s="521"/>
      <c r="F40" s="541">
        <v>9.2590999999999993E-3</v>
      </c>
      <c r="G40" s="540"/>
      <c r="H40" s="541">
        <v>0</v>
      </c>
      <c r="I40" s="540"/>
      <c r="J40" s="541">
        <v>1.14591E-2</v>
      </c>
      <c r="K40" s="540"/>
      <c r="L40" s="541">
        <v>2.1299999999999999E-3</v>
      </c>
      <c r="M40" s="540"/>
      <c r="N40" s="541">
        <v>1.7059100000000001E-2</v>
      </c>
      <c r="O40" s="540"/>
      <c r="P40" s="541">
        <v>7.7299999999999999E-3</v>
      </c>
      <c r="Q40" s="540"/>
      <c r="R40" s="541"/>
      <c r="S40" s="521"/>
      <c r="T40" s="527"/>
      <c r="U40" s="523"/>
      <c r="V40" s="506"/>
    </row>
    <row r="41" spans="1:26" s="507" customFormat="1" x14ac:dyDescent="0.35">
      <c r="A41" s="520"/>
      <c r="B41" s="521" t="s">
        <v>13</v>
      </c>
      <c r="C41" s="521"/>
      <c r="D41" s="541">
        <v>6.0619000000000003E-3</v>
      </c>
      <c r="E41" s="521"/>
      <c r="F41" s="541">
        <v>8.3619000000000002E-3</v>
      </c>
      <c r="G41" s="540"/>
      <c r="H41" s="541">
        <v>0</v>
      </c>
      <c r="I41" s="540"/>
      <c r="J41" s="541">
        <v>1.0561900000000001E-2</v>
      </c>
      <c r="K41" s="540"/>
      <c r="L41" s="541">
        <v>2.1099999999999999E-3</v>
      </c>
      <c r="M41" s="540"/>
      <c r="N41" s="541">
        <v>1.61619E-2</v>
      </c>
      <c r="O41" s="540"/>
      <c r="P41" s="541">
        <v>7.7099999999999998E-3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6.9591000000000002E-3</v>
      </c>
      <c r="E43" s="521"/>
      <c r="F43" s="541">
        <f>+F40</f>
        <v>9.2590999999999993E-3</v>
      </c>
      <c r="G43" s="540"/>
      <c r="H43" s="541">
        <v>9.7091E-3</v>
      </c>
      <c r="I43" s="540"/>
      <c r="J43" s="541">
        <f>+J40</f>
        <v>1.14591E-2</v>
      </c>
      <c r="K43" s="540"/>
      <c r="L43" s="541">
        <v>1.21891E-2</v>
      </c>
      <c r="M43" s="540"/>
      <c r="N43" s="541">
        <f>+N40</f>
        <v>1.7059100000000001E-2</v>
      </c>
      <c r="O43" s="540"/>
      <c r="P43" s="541">
        <v>1.8289099999999999E-2</v>
      </c>
      <c r="Q43" s="527"/>
      <c r="R43" s="527"/>
      <c r="S43" s="521"/>
      <c r="T43" s="540">
        <f>SUMPRODUCT(D43:P43,D35:P35)/T35</f>
        <v>1.0691838185555209E-2</v>
      </c>
      <c r="U43" s="523"/>
      <c r="V43" s="506"/>
    </row>
    <row r="44" spans="1:26" s="507" customFormat="1" x14ac:dyDescent="0.35">
      <c r="A44" s="520"/>
      <c r="B44" s="521" t="s">
        <v>301</v>
      </c>
      <c r="C44" s="542"/>
      <c r="D44" s="541">
        <f>+D41</f>
        <v>6.0619000000000003E-3</v>
      </c>
      <c r="E44" s="521"/>
      <c r="F44" s="541">
        <f>+F41</f>
        <v>8.3619000000000002E-3</v>
      </c>
      <c r="G44" s="540"/>
      <c r="H44" s="541">
        <v>8.8118999999999992E-3</v>
      </c>
      <c r="I44" s="540"/>
      <c r="J44" s="541">
        <f>+J41</f>
        <v>1.0561900000000001E-2</v>
      </c>
      <c r="K44" s="540"/>
      <c r="L44" s="541">
        <v>1.1291900000000001E-2</v>
      </c>
      <c r="M44" s="540"/>
      <c r="N44" s="541">
        <f>+N41</f>
        <v>1.61619E-2</v>
      </c>
      <c r="O44" s="540"/>
      <c r="P44" s="541">
        <v>1.7391899999999998E-2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0.29701762673788268</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43266</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90</v>
      </c>
      <c r="Q56" s="521"/>
      <c r="R56" s="551">
        <v>43084</v>
      </c>
      <c r="S56" s="552"/>
      <c r="T56" s="551">
        <v>43173</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92</v>
      </c>
      <c r="Q57" s="521"/>
      <c r="R57" s="551">
        <v>43174</v>
      </c>
      <c r="S57" s="552"/>
      <c r="T57" s="551">
        <v>43265</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43252</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367</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353404</v>
      </c>
      <c r="M67" s="564"/>
      <c r="N67" s="564">
        <f>4622+335</f>
        <v>4957</v>
      </c>
      <c r="O67" s="564"/>
      <c r="P67" s="564">
        <v>335</v>
      </c>
      <c r="Q67" s="564"/>
      <c r="R67" s="564">
        <v>0</v>
      </c>
      <c r="S67" s="564"/>
      <c r="T67" s="565">
        <f>+L67-N67+P67-R67</f>
        <v>348782</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353404</v>
      </c>
      <c r="M70" s="564"/>
      <c r="N70" s="564">
        <f>SUM(N67:N69)</f>
        <v>4957</v>
      </c>
      <c r="O70" s="564"/>
      <c r="P70" s="564">
        <f>SUM(P67:P69)</f>
        <v>335</v>
      </c>
      <c r="Q70" s="564"/>
      <c r="R70" s="564">
        <f>SUM(R67:R69)</f>
        <v>0</v>
      </c>
      <c r="S70" s="564"/>
      <c r="T70" s="564">
        <f>SUM(T67:T69)</f>
        <v>348782</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353404</v>
      </c>
      <c r="M83" s="564"/>
      <c r="N83" s="564"/>
      <c r="O83" s="564"/>
      <c r="P83" s="564"/>
      <c r="Q83" s="564"/>
      <c r="R83" s="564"/>
      <c r="S83" s="564"/>
      <c r="T83" s="564">
        <f>SUM(T70:T82)</f>
        <v>348782</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43251</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4957+35</f>
        <v>4992</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1930+997-489-302</f>
        <v>2136</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20+4</f>
        <v>24</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27</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150</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4992</v>
      </c>
      <c r="S95" s="521"/>
      <c r="T95" s="564">
        <f>SUM(T87:T94)</f>
        <v>2337</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-46</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4992</v>
      </c>
      <c r="S99" s="521"/>
      <c r="T99" s="564">
        <f>T95+T97+T96+T98</f>
        <v>2291</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-137-84-5</f>
        <v>-226</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-31-245</f>
        <v>-276</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-367</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-29</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-63</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-61</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-157</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-10</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-35</v>
      </c>
      <c r="S114" s="521"/>
      <c r="T114" s="565">
        <v>35</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-137</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-998</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0</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-335</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-3564</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-287</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-122</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-477</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-172</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-4957</v>
      </c>
      <c r="S131" s="564"/>
      <c r="T131" s="564">
        <f>SUM(T100:T129)</f>
        <v>-2291</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MAY 2018</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-35</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-35</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35</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f>-T98</f>
        <v>46</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348782</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348782</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+'Feb 18'!Q182</f>
        <v>46744</v>
      </c>
      <c r="R180" s="565">
        <f>+'Feb 18'!R182</f>
        <v>5995</v>
      </c>
      <c r="S180" s="521"/>
      <c r="T180" s="565">
        <f>Q180+R180</f>
        <v>52739</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v>335</v>
      </c>
      <c r="R181" s="564">
        <v>0</v>
      </c>
      <c r="S181" s="521"/>
      <c r="T181" s="565">
        <f>Q181+R181</f>
        <v>335</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47079</v>
      </c>
      <c r="R182" s="565">
        <f>R181+R180</f>
        <v>5995</v>
      </c>
      <c r="S182" s="521"/>
      <c r="T182" s="565">
        <f>Q182+R182</f>
        <v>53074</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106982.48000000001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3.208398133748056</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1.79</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15.434782608695652</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9.76</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6.0917431192660549</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4.68</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MAY 2018</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43251</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2.426E-2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1.0691838185555209E-2</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1.3568161814444792E-2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6.4826657310047423E-3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9.8000000000000007</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1.4026439995019863E-2</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8.5300000000000001E-2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0</v>
      </c>
      <c r="R215" s="624">
        <v>0</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61</v>
      </c>
      <c r="R216" s="580">
        <f>+R268</f>
        <v>9702</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-35</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'Feb 18'!R222+R221</f>
        <v>7148</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0</v>
      </c>
      <c r="R228" s="580">
        <v>0</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2616</v>
      </c>
      <c r="Q235" s="589">
        <f t="shared" ref="Q235:Q242" si="2">P235/$P$244</f>
        <v>0.99619192688499614</v>
      </c>
      <c r="R235" s="594">
        <f t="shared" ref="R235:R242" si="3">+R247+R259+R271</f>
        <v>346725</v>
      </c>
      <c r="S235" s="589">
        <f t="shared" ref="S235:S242" si="4">R235/$R$244</f>
        <v>0.99410233326261099</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9</v>
      </c>
      <c r="Q236" s="587">
        <f t="shared" si="2"/>
        <v>3.4272658035034271E-3</v>
      </c>
      <c r="R236" s="565">
        <f t="shared" si="3"/>
        <v>1966</v>
      </c>
      <c r="S236" s="587">
        <f t="shared" si="4"/>
        <v>5.6367587776892155E-3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0</v>
      </c>
      <c r="Q237" s="587">
        <f t="shared" si="2"/>
        <v>0</v>
      </c>
      <c r="R237" s="565">
        <f t="shared" si="3"/>
        <v>0</v>
      </c>
      <c r="S237" s="587">
        <f t="shared" si="4"/>
        <v>0</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0</v>
      </c>
      <c r="Q238" s="587">
        <f t="shared" si="2"/>
        <v>0</v>
      </c>
      <c r="R238" s="565">
        <f t="shared" si="3"/>
        <v>0</v>
      </c>
      <c r="S238" s="587">
        <f t="shared" si="4"/>
        <v>0</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0</v>
      </c>
      <c r="Q239" s="587">
        <f t="shared" si="2"/>
        <v>0</v>
      </c>
      <c r="R239" s="565">
        <f t="shared" si="3"/>
        <v>0</v>
      </c>
      <c r="S239" s="587">
        <f t="shared" si="4"/>
        <v>0</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0</v>
      </c>
      <c r="Q240" s="587">
        <f t="shared" si="2"/>
        <v>0</v>
      </c>
      <c r="R240" s="565">
        <f t="shared" si="3"/>
        <v>0</v>
      </c>
      <c r="S240" s="587">
        <f t="shared" si="4"/>
        <v>0</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1</v>
      </c>
      <c r="Q241" s="587">
        <f t="shared" si="2"/>
        <v>3.8080731150038082E-4</v>
      </c>
      <c r="R241" s="565">
        <f t="shared" si="3"/>
        <v>91</v>
      </c>
      <c r="S241" s="587">
        <f t="shared" si="4"/>
        <v>2.6090795969975516E-4</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9">
        <f t="shared" si="4"/>
        <v>0</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2626</v>
      </c>
      <c r="Q244" s="587">
        <f>SUM(Q235:Q243)</f>
        <v>0.99999999999999989</v>
      </c>
      <c r="R244" s="565">
        <f>SUM(R235:R243)</f>
        <v>348782</v>
      </c>
      <c r="S244" s="587">
        <f>SUM(S235:S243)</f>
        <v>1</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2557</v>
      </c>
      <c r="Q247" s="632">
        <f t="shared" ref="Q247:Q254" si="5">P247/$P$256</f>
        <v>0.9968810916179337</v>
      </c>
      <c r="R247" s="594">
        <v>337285</v>
      </c>
      <c r="S247" s="632">
        <f t="shared" ref="S247:S254" si="6">R247/$R$256</f>
        <v>0.9947062640084936</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8</v>
      </c>
      <c r="Q248" s="587">
        <f t="shared" si="5"/>
        <v>3.1189083820662767E-3</v>
      </c>
      <c r="R248" s="565">
        <v>1795</v>
      </c>
      <c r="S248" s="587">
        <f t="shared" si="6"/>
        <v>5.293735991506429E-3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0</v>
      </c>
      <c r="Q249" s="587">
        <f t="shared" si="5"/>
        <v>0</v>
      </c>
      <c r="R249" s="565">
        <v>0</v>
      </c>
      <c r="S249" s="587">
        <f t="shared" si="6"/>
        <v>0</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2565</v>
      </c>
      <c r="Q256" s="587">
        <f>SUM(Q247:Q255)</f>
        <v>1</v>
      </c>
      <c r="R256" s="565">
        <f>SUM(R247:R255)</f>
        <v>339080</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59</v>
      </c>
      <c r="Q259" s="632">
        <f t="shared" ref="Q259:Q266" si="7">P259/$P$268</f>
        <v>0.96721311475409832</v>
      </c>
      <c r="R259" s="594">
        <v>9440</v>
      </c>
      <c r="S259" s="632">
        <f t="shared" ref="S259:S266" si="8">R259/$R$268</f>
        <v>0.9729952587095444</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1</v>
      </c>
      <c r="Q260" s="587">
        <f t="shared" si="7"/>
        <v>1.6393442622950821E-2</v>
      </c>
      <c r="R260" s="565">
        <v>171</v>
      </c>
      <c r="S260" s="587">
        <f t="shared" si="8"/>
        <v>1.7625231910946195E-2</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0</v>
      </c>
      <c r="Q261" s="587">
        <f t="shared" si="7"/>
        <v>0</v>
      </c>
      <c r="R261" s="565">
        <v>0</v>
      </c>
      <c r="S261" s="587">
        <f t="shared" si="8"/>
        <v>0</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0</v>
      </c>
      <c r="Q262" s="587">
        <f t="shared" si="7"/>
        <v>0</v>
      </c>
      <c r="R262" s="565">
        <v>0</v>
      </c>
      <c r="S262" s="587">
        <f t="shared" si="8"/>
        <v>0</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0</v>
      </c>
      <c r="Q263" s="587">
        <f t="shared" si="7"/>
        <v>0</v>
      </c>
      <c r="R263" s="565">
        <v>0</v>
      </c>
      <c r="S263" s="587">
        <f t="shared" si="8"/>
        <v>0</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1</v>
      </c>
      <c r="Q265" s="587">
        <f t="shared" si="7"/>
        <v>1.6393442622950821E-2</v>
      </c>
      <c r="R265" s="565">
        <v>91</v>
      </c>
      <c r="S265" s="587">
        <f t="shared" si="8"/>
        <v>9.3795093795093799E-3</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61</v>
      </c>
      <c r="Q268" s="587">
        <f>SUM(Q259:Q267)</f>
        <v>1</v>
      </c>
      <c r="R268" s="565">
        <f>SUM(R259:R267)</f>
        <v>9702</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2626</v>
      </c>
      <c r="Q282" s="587"/>
      <c r="R282" s="592">
        <f>+R280+R268+R256</f>
        <v>348782</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MAY 2018</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3100-000000000000}"/>
    <hyperlink ref="N232" r:id="rId2" xr:uid="{00000000-0004-0000-3100-000001000000}"/>
    <hyperlink ref="P294" r:id="rId3" xr:uid="{00000000-0004-0000-31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2D2926"/>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0.68659999999999999</v>
      </c>
      <c r="R16" s="514" t="s">
        <v>147</v>
      </c>
      <c r="S16" s="513">
        <v>0.31340000000000001</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43364</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13910.933579999999</v>
      </c>
      <c r="E32" s="528"/>
      <c r="F32" s="529">
        <f>F31*F38</f>
        <v>105000</v>
      </c>
      <c r="G32" s="529"/>
      <c r="H32" s="533">
        <f>H31*H38</f>
        <v>222000</v>
      </c>
      <c r="I32" s="529"/>
      <c r="J32" s="529">
        <f>J31*J38</f>
        <v>21670.5314</v>
      </c>
      <c r="K32" s="529"/>
      <c r="L32" s="533">
        <f>L31*L38</f>
        <v>13631.463300000001</v>
      </c>
      <c r="M32" s="529"/>
      <c r="N32" s="534">
        <f>N31*N38</f>
        <v>36001.044099999999</v>
      </c>
      <c r="O32" s="529"/>
      <c r="P32" s="533">
        <f>P31*P38</f>
        <v>19223.858500000002</v>
      </c>
      <c r="Q32" s="529"/>
      <c r="R32" s="529"/>
      <c r="S32" s="528"/>
      <c r="T32" s="529"/>
      <c r="U32" s="530"/>
      <c r="V32" s="506"/>
    </row>
    <row r="33" spans="1:26" s="507" customFormat="1" x14ac:dyDescent="0.35">
      <c r="A33" s="520"/>
      <c r="B33" s="526" t="s">
        <v>141</v>
      </c>
      <c r="C33" s="528"/>
      <c r="D33" s="536">
        <f>D34*D37</f>
        <v>8111.6031072000005</v>
      </c>
      <c r="E33" s="531"/>
      <c r="F33" s="535">
        <f>F37*F31</f>
        <v>105000</v>
      </c>
      <c r="G33" s="535"/>
      <c r="H33" s="537">
        <f>H31*H37</f>
        <v>222000</v>
      </c>
      <c r="I33" s="535"/>
      <c r="J33" s="535">
        <f>J31*J37</f>
        <v>21203.1816</v>
      </c>
      <c r="K33" s="535"/>
      <c r="L33" s="537">
        <f>L31*L37</f>
        <v>13337.485199999999</v>
      </c>
      <c r="M33" s="535"/>
      <c r="N33" s="535">
        <f>N31*N37</f>
        <v>35224.640399999997</v>
      </c>
      <c r="O33" s="535"/>
      <c r="P33" s="537">
        <f>P31*P37</f>
        <v>18809.273999999998</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13910.933579999999</v>
      </c>
      <c r="E35" s="528"/>
      <c r="F35" s="529">
        <f>F34*F38</f>
        <v>105000</v>
      </c>
      <c r="G35" s="529"/>
      <c r="H35" s="529">
        <f>H34*H38</f>
        <v>150000</v>
      </c>
      <c r="I35" s="529"/>
      <c r="J35" s="529">
        <f>J32</f>
        <v>21670.5314</v>
      </c>
      <c r="K35" s="529"/>
      <c r="L35" s="529">
        <f>L34*L38</f>
        <v>9210.674894400001</v>
      </c>
      <c r="M35" s="529"/>
      <c r="N35" s="529">
        <f>N32</f>
        <v>36001.044099999999</v>
      </c>
      <c r="O35" s="529"/>
      <c r="P35" s="529">
        <f>P34*P38</f>
        <v>12989.036901400001</v>
      </c>
      <c r="Q35" s="529"/>
      <c r="R35" s="529"/>
      <c r="S35" s="528"/>
      <c r="T35" s="529">
        <f>SUM(C35:P35)</f>
        <v>348782.22087580001</v>
      </c>
      <c r="U35" s="530"/>
      <c r="V35" s="506"/>
      <c r="X35" s="538"/>
      <c r="Z35" s="538"/>
    </row>
    <row r="36" spans="1:26" s="507" customFormat="1" x14ac:dyDescent="0.35">
      <c r="A36" s="524"/>
      <c r="B36" s="526" t="s">
        <v>298</v>
      </c>
      <c r="C36" s="531"/>
      <c r="D36" s="535">
        <f>D37*D34</f>
        <v>8111.6031072000005</v>
      </c>
      <c r="E36" s="531"/>
      <c r="F36" s="535">
        <f>F37*F34</f>
        <v>105000</v>
      </c>
      <c r="G36" s="535"/>
      <c r="H36" s="535">
        <f>H37*H34</f>
        <v>150000</v>
      </c>
      <c r="I36" s="535"/>
      <c r="J36" s="535">
        <f>J37*J34</f>
        <v>21203.1816</v>
      </c>
      <c r="K36" s="535"/>
      <c r="L36" s="535">
        <f>L37*L34</f>
        <v>9012.0361536</v>
      </c>
      <c r="M36" s="535"/>
      <c r="N36" s="535">
        <f>N37*N34</f>
        <v>35224.640399999997</v>
      </c>
      <c r="O36" s="535"/>
      <c r="P36" s="535">
        <f>P34*P37</f>
        <v>12708.913461599999</v>
      </c>
      <c r="Q36" s="539"/>
      <c r="R36" s="539"/>
      <c r="S36" s="528"/>
      <c r="T36" s="535">
        <f>SUM(C36:P36)+1</f>
        <v>341261.37472240004</v>
      </c>
      <c r="U36" s="530"/>
      <c r="V36" s="506"/>
      <c r="X36" s="538"/>
      <c r="Z36" s="538"/>
    </row>
    <row r="37" spans="1:26" s="491" customFormat="1" x14ac:dyDescent="0.35">
      <c r="A37" s="492"/>
      <c r="B37" s="479" t="s">
        <v>137</v>
      </c>
      <c r="C37" s="493"/>
      <c r="D37" s="494">
        <v>1.28532E-2</v>
      </c>
      <c r="E37" s="495"/>
      <c r="F37" s="494">
        <v>1</v>
      </c>
      <c r="G37" s="494"/>
      <c r="H37" s="494">
        <v>1</v>
      </c>
      <c r="I37" s="494"/>
      <c r="J37" s="494">
        <v>0.68397359999999996</v>
      </c>
      <c r="K37" s="494"/>
      <c r="L37" s="494">
        <v>0.68397359999999996</v>
      </c>
      <c r="M37" s="494"/>
      <c r="N37" s="494">
        <v>0.68397359999999996</v>
      </c>
      <c r="O37" s="494"/>
      <c r="P37" s="494">
        <v>0.68397359999999996</v>
      </c>
      <c r="Q37" s="496"/>
      <c r="R37" s="496"/>
      <c r="S37" s="493"/>
      <c r="T37" s="493"/>
      <c r="U37" s="497"/>
      <c r="V37" s="490"/>
    </row>
    <row r="38" spans="1:26" s="491" customFormat="1" x14ac:dyDescent="0.35">
      <c r="A38" s="492"/>
      <c r="B38" s="479" t="s">
        <v>138</v>
      </c>
      <c r="C38" s="493"/>
      <c r="D38" s="494">
        <v>2.20425E-2</v>
      </c>
      <c r="E38" s="495"/>
      <c r="F38" s="494">
        <v>1</v>
      </c>
      <c r="G38" s="494"/>
      <c r="H38" s="494">
        <v>1</v>
      </c>
      <c r="I38" s="494"/>
      <c r="J38" s="494">
        <v>0.69904940000000004</v>
      </c>
      <c r="K38" s="494"/>
      <c r="L38" s="494">
        <v>0.69904940000000004</v>
      </c>
      <c r="M38" s="494"/>
      <c r="N38" s="494">
        <v>0.69904940000000004</v>
      </c>
      <c r="O38" s="494"/>
      <c r="P38" s="494">
        <v>0.69904940000000004</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7.2075000000000004E-3</v>
      </c>
      <c r="E40" s="521"/>
      <c r="F40" s="541">
        <v>9.5075000000000003E-3</v>
      </c>
      <c r="G40" s="540"/>
      <c r="H40" s="541">
        <v>0</v>
      </c>
      <c r="I40" s="540"/>
      <c r="J40" s="541">
        <v>1.1707499999999999E-2</v>
      </c>
      <c r="K40" s="540"/>
      <c r="L40" s="541">
        <v>2.1900000000000001E-3</v>
      </c>
      <c r="M40" s="540"/>
      <c r="N40" s="541">
        <v>1.73075E-2</v>
      </c>
      <c r="O40" s="540"/>
      <c r="P40" s="541">
        <v>7.79E-3</v>
      </c>
      <c r="Q40" s="540"/>
      <c r="R40" s="541"/>
      <c r="S40" s="521"/>
      <c r="T40" s="527"/>
      <c r="U40" s="523"/>
      <c r="V40" s="506"/>
    </row>
    <row r="41" spans="1:26" s="507" customFormat="1" x14ac:dyDescent="0.35">
      <c r="A41" s="520"/>
      <c r="B41" s="521" t="s">
        <v>13</v>
      </c>
      <c r="C41" s="521"/>
      <c r="D41" s="541">
        <v>6.9591000000000002E-3</v>
      </c>
      <c r="E41" s="521"/>
      <c r="F41" s="541">
        <v>9.2590999999999993E-3</v>
      </c>
      <c r="G41" s="540"/>
      <c r="H41" s="541">
        <v>0</v>
      </c>
      <c r="I41" s="540"/>
      <c r="J41" s="541">
        <v>1.14591E-2</v>
      </c>
      <c r="K41" s="540"/>
      <c r="L41" s="541">
        <v>2.1299999999999999E-3</v>
      </c>
      <c r="M41" s="540"/>
      <c r="N41" s="541">
        <v>1.7059100000000001E-2</v>
      </c>
      <c r="O41" s="540"/>
      <c r="P41" s="541">
        <v>7.7299999999999999E-3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7.2075000000000004E-3</v>
      </c>
      <c r="E43" s="521"/>
      <c r="F43" s="541">
        <f>+F40</f>
        <v>9.5075000000000003E-3</v>
      </c>
      <c r="G43" s="540"/>
      <c r="H43" s="541">
        <v>9.9574999999999993E-3</v>
      </c>
      <c r="I43" s="540"/>
      <c r="J43" s="541">
        <f>+J40</f>
        <v>1.1707499999999999E-2</v>
      </c>
      <c r="K43" s="540"/>
      <c r="L43" s="541">
        <v>1.2437500000000001E-2</v>
      </c>
      <c r="M43" s="540"/>
      <c r="N43" s="541">
        <f>+N40</f>
        <v>1.73075E-2</v>
      </c>
      <c r="O43" s="540"/>
      <c r="P43" s="541">
        <v>1.8537499999999998E-2</v>
      </c>
      <c r="Q43" s="527"/>
      <c r="R43" s="527"/>
      <c r="S43" s="521"/>
      <c r="T43" s="540">
        <f>SUMPRODUCT(D43:P43,D35:P35)/T35</f>
        <v>1.0964760192936341E-2</v>
      </c>
      <c r="U43" s="523"/>
      <c r="V43" s="506"/>
    </row>
    <row r="44" spans="1:26" s="507" customFormat="1" x14ac:dyDescent="0.35">
      <c r="A44" s="520"/>
      <c r="B44" s="521" t="s">
        <v>301</v>
      </c>
      <c r="C44" s="542"/>
      <c r="D44" s="541">
        <f>+D41</f>
        <v>6.9591000000000002E-3</v>
      </c>
      <c r="E44" s="521"/>
      <c r="F44" s="541">
        <f>+F41</f>
        <v>9.2590999999999993E-3</v>
      </c>
      <c r="G44" s="540"/>
      <c r="H44" s="541">
        <v>9.7091E-3</v>
      </c>
      <c r="I44" s="540"/>
      <c r="J44" s="541">
        <f>+J41</f>
        <v>1.14591E-2</v>
      </c>
      <c r="K44" s="540"/>
      <c r="L44" s="541">
        <v>1.21891E-2</v>
      </c>
      <c r="M44" s="540"/>
      <c r="N44" s="541">
        <f>+N41</f>
        <v>1.7059100000000001E-2</v>
      </c>
      <c r="O44" s="540"/>
      <c r="P44" s="541">
        <v>1.8289099999999999E-2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0.29701757996343364</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43360</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92</v>
      </c>
      <c r="Q56" s="521"/>
      <c r="R56" s="551">
        <v>43174</v>
      </c>
      <c r="S56" s="552"/>
      <c r="T56" s="551">
        <v>43265</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94</v>
      </c>
      <c r="Q57" s="521"/>
      <c r="R57" s="551">
        <v>43266</v>
      </c>
      <c r="S57" s="552"/>
      <c r="T57" s="551">
        <v>43359</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43346</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368</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348782</v>
      </c>
      <c r="M67" s="564"/>
      <c r="N67" s="564">
        <f>7522+132-1</f>
        <v>7653</v>
      </c>
      <c r="O67" s="564"/>
      <c r="P67" s="564">
        <v>132</v>
      </c>
      <c r="Q67" s="564"/>
      <c r="R67" s="564">
        <v>0</v>
      </c>
      <c r="S67" s="564"/>
      <c r="T67" s="565">
        <f>+L67-N67+P67-R67</f>
        <v>341261</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348782</v>
      </c>
      <c r="M70" s="564"/>
      <c r="N70" s="564">
        <f>SUM(N67:N69)</f>
        <v>7653</v>
      </c>
      <c r="O70" s="564"/>
      <c r="P70" s="564">
        <f>SUM(P67:P69)</f>
        <v>132</v>
      </c>
      <c r="Q70" s="564"/>
      <c r="R70" s="564">
        <f>SUM(R67:R69)</f>
        <v>0</v>
      </c>
      <c r="S70" s="564"/>
      <c r="T70" s="564">
        <f>SUM(T67:T69)</f>
        <v>341261</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348782</v>
      </c>
      <c r="M83" s="564"/>
      <c r="N83" s="564"/>
      <c r="O83" s="564"/>
      <c r="P83" s="564"/>
      <c r="Q83" s="564"/>
      <c r="R83" s="564"/>
      <c r="S83" s="564"/>
      <c r="T83" s="564">
        <f>SUM(T70:T82)</f>
        <v>341261</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43343</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7653+22</f>
        <v>7675</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2308+1168-790-485</f>
        <v>2201</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24+7</f>
        <v>31</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33</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142</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7675</v>
      </c>
      <c r="S95" s="521"/>
      <c r="T95" s="564">
        <f>SUM(T87:T94)</f>
        <v>2407</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0</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7675</v>
      </c>
      <c r="S99" s="521"/>
      <c r="T99" s="564">
        <f>T95+T97+T96+T98</f>
        <v>2407</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-135-116-5</f>
        <v>-256</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-26-257</f>
        <v>-283</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-385</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-30</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-65</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-62</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-160</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-7</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-22</v>
      </c>
      <c r="S114" s="521"/>
      <c r="T114" s="565">
        <v>22</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-135</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-1044</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0</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-132</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-5799</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-467</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-199</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-776</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-280</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-7653</v>
      </c>
      <c r="S131" s="564"/>
      <c r="T131" s="564">
        <f>SUM(T100:T129)</f>
        <v>-2407</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AUGUST 2018</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-22</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-22</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22</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f>-T98</f>
        <v>0</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341261</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341261</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+'May 18'!Q182</f>
        <v>47079</v>
      </c>
      <c r="R180" s="565">
        <f>+'May 18'!R182</f>
        <v>5995</v>
      </c>
      <c r="S180" s="521"/>
      <c r="T180" s="565">
        <f>Q180+R180</f>
        <v>53074</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v>132</v>
      </c>
      <c r="R181" s="564">
        <v>0</v>
      </c>
      <c r="S181" s="521"/>
      <c r="T181" s="565">
        <f>Q181+R181</f>
        <v>132</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47211</v>
      </c>
      <c r="R182" s="565">
        <f>R181+R180</f>
        <v>5995</v>
      </c>
      <c r="S182" s="521"/>
      <c r="T182" s="565">
        <f>Q182+R182</f>
        <v>53206</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106850.48000000001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3.217065868263473</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1.79</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15.589473684210526</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9.81</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6.243243243243243</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4.6900000000000004</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AUGUST 2018</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43343</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2.3699999999999999E-2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1.0964760192936341E-2</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1.2735239807063658E-2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6.9011588900803368E-3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9.73</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2.1942072698705781E-2</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8.5300000000000001E-2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0</v>
      </c>
      <c r="R215" s="624">
        <v>0</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66</v>
      </c>
      <c r="R216" s="580">
        <f>+R268</f>
        <v>10714</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-22</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'May 18'!R222+R221</f>
        <v>7126</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0</v>
      </c>
      <c r="R228" s="580">
        <v>0</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2560</v>
      </c>
      <c r="Q235" s="589">
        <f t="shared" ref="Q235:Q242" si="2">P235/$P$244</f>
        <v>0.99340318199456734</v>
      </c>
      <c r="R235" s="594">
        <f t="shared" ref="R235:R242" si="3">+R247+R259+R271</f>
        <v>338753</v>
      </c>
      <c r="S235" s="589">
        <f t="shared" ref="S235:S242" si="4">R235/$R$244</f>
        <v>0.99265078634827886</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5</v>
      </c>
      <c r="Q236" s="587">
        <f t="shared" si="2"/>
        <v>1.9402405898331393E-3</v>
      </c>
      <c r="R236" s="565">
        <f t="shared" si="3"/>
        <v>953</v>
      </c>
      <c r="S236" s="587">
        <f t="shared" si="4"/>
        <v>2.7925839753150813E-3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7</v>
      </c>
      <c r="Q237" s="587">
        <f t="shared" si="2"/>
        <v>2.7163368257663951E-3</v>
      </c>
      <c r="R237" s="565">
        <f t="shared" si="3"/>
        <v>536</v>
      </c>
      <c r="S237" s="587">
        <f t="shared" si="4"/>
        <v>1.5706453418351349E-3</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1</v>
      </c>
      <c r="Q238" s="587">
        <f t="shared" si="2"/>
        <v>3.8804811796662784E-4</v>
      </c>
      <c r="R238" s="565">
        <f t="shared" si="3"/>
        <v>56</v>
      </c>
      <c r="S238" s="587">
        <f t="shared" si="4"/>
        <v>1.6409727452008872E-4</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1</v>
      </c>
      <c r="Q239" s="587">
        <f t="shared" si="2"/>
        <v>3.8804811796662784E-4</v>
      </c>
      <c r="R239" s="565">
        <f t="shared" si="3"/>
        <v>67</v>
      </c>
      <c r="S239" s="587">
        <f t="shared" si="4"/>
        <v>1.9633066772939187E-4</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2</v>
      </c>
      <c r="Q240" s="587">
        <f t="shared" si="2"/>
        <v>7.7609623593325567E-4</v>
      </c>
      <c r="R240" s="565">
        <f t="shared" si="3"/>
        <v>805</v>
      </c>
      <c r="S240" s="587">
        <f t="shared" si="4"/>
        <v>2.3588983212262755E-3</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1</v>
      </c>
      <c r="Q241" s="587">
        <f t="shared" si="2"/>
        <v>3.8804811796662784E-4</v>
      </c>
      <c r="R241" s="565">
        <f t="shared" si="3"/>
        <v>91</v>
      </c>
      <c r="S241" s="587">
        <f t="shared" si="4"/>
        <v>2.6665807109514417E-4</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9">
        <f t="shared" si="4"/>
        <v>0</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2577</v>
      </c>
      <c r="Q244" s="587">
        <f>SUM(Q235:Q243)</f>
        <v>1</v>
      </c>
      <c r="R244" s="565">
        <f>SUM(R235:R243)</f>
        <v>341261</v>
      </c>
      <c r="S244" s="587">
        <f>SUM(S235:S243)</f>
        <v>1</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2501</v>
      </c>
      <c r="Q247" s="632">
        <f t="shared" ref="Q247:Q254" si="5">P247/$P$256</f>
        <v>0.99601752289924328</v>
      </c>
      <c r="R247" s="594">
        <v>329341</v>
      </c>
      <c r="S247" s="632">
        <f t="shared" ref="S247:S254" si="6">R247/$R$256</f>
        <v>0.9963515022069479</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4</v>
      </c>
      <c r="Q248" s="587">
        <f t="shared" si="5"/>
        <v>1.5929908403026682E-3</v>
      </c>
      <c r="R248" s="565">
        <v>781</v>
      </c>
      <c r="S248" s="587">
        <f t="shared" si="6"/>
        <v>2.3627502291655952E-3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6</v>
      </c>
      <c r="Q249" s="587">
        <f t="shared" si="5"/>
        <v>2.3894862604540022E-3</v>
      </c>
      <c r="R249" s="565">
        <v>425</v>
      </c>
      <c r="S249" s="587">
        <f t="shared" si="6"/>
        <v>1.2857475638865274E-3</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2511</v>
      </c>
      <c r="Q256" s="587">
        <f>SUM(Q247:Q255)</f>
        <v>0.99999999999999989</v>
      </c>
      <c r="R256" s="565">
        <f>SUM(R247:R255)</f>
        <v>330547</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59</v>
      </c>
      <c r="Q259" s="632">
        <f t="shared" ref="Q259:Q266" si="7">P259/$P$268</f>
        <v>0.89393939393939392</v>
      </c>
      <c r="R259" s="594">
        <v>9412</v>
      </c>
      <c r="S259" s="632">
        <f t="shared" ref="S259:S266" si="8">R259/$R$268</f>
        <v>0.87847675938025016</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1</v>
      </c>
      <c r="Q260" s="587">
        <f t="shared" si="7"/>
        <v>1.5151515151515152E-2</v>
      </c>
      <c r="R260" s="565">
        <v>172</v>
      </c>
      <c r="S260" s="587">
        <f t="shared" si="8"/>
        <v>1.6053761433638229E-2</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1</v>
      </c>
      <c r="Q261" s="587">
        <f t="shared" si="7"/>
        <v>1.5151515151515152E-2</v>
      </c>
      <c r="R261" s="565">
        <v>111</v>
      </c>
      <c r="S261" s="587">
        <f t="shared" si="8"/>
        <v>1.0360276274033974E-2</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1</v>
      </c>
      <c r="Q262" s="587">
        <f t="shared" si="7"/>
        <v>1.5151515151515152E-2</v>
      </c>
      <c r="R262" s="565">
        <v>56</v>
      </c>
      <c r="S262" s="587">
        <f t="shared" si="8"/>
        <v>5.2268060481612845E-3</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1</v>
      </c>
      <c r="Q263" s="587">
        <f t="shared" si="7"/>
        <v>1.5151515151515152E-2</v>
      </c>
      <c r="R263" s="565">
        <v>67</v>
      </c>
      <c r="S263" s="587">
        <f t="shared" si="8"/>
        <v>6.2535000933358221E-3</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2</v>
      </c>
      <c r="Q264" s="587">
        <f t="shared" si="7"/>
        <v>3.0303030303030304E-2</v>
      </c>
      <c r="R264" s="565">
        <v>805</v>
      </c>
      <c r="S264" s="587">
        <f t="shared" si="8"/>
        <v>7.5135336942318456E-2</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1</v>
      </c>
      <c r="Q265" s="587">
        <f t="shared" si="7"/>
        <v>1.5151515151515152E-2</v>
      </c>
      <c r="R265" s="565">
        <v>91</v>
      </c>
      <c r="S265" s="587">
        <f t="shared" si="8"/>
        <v>8.4935598282620869E-3</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66</v>
      </c>
      <c r="Q268" s="587">
        <f>SUM(Q259:Q267)</f>
        <v>0.99999999999999989</v>
      </c>
      <c r="R268" s="565">
        <f>SUM(R259:R267)</f>
        <v>10714</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2577</v>
      </c>
      <c r="Q282" s="587"/>
      <c r="R282" s="592">
        <f>+R280+R268+R256</f>
        <v>341261</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AUGUST 2018</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3200-000000000000}"/>
    <hyperlink ref="N232" r:id="rId2" xr:uid="{00000000-0004-0000-3200-000001000000}"/>
    <hyperlink ref="P294" r:id="rId3" xr:uid="{00000000-0004-0000-32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89CB31"/>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0.69030000000000002</v>
      </c>
      <c r="R16" s="514" t="s">
        <v>147</v>
      </c>
      <c r="S16" s="513">
        <v>0.30969999999999998</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43454</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8111.6031072000005</v>
      </c>
      <c r="E32" s="528"/>
      <c r="F32" s="529">
        <f>F31*F38</f>
        <v>105000</v>
      </c>
      <c r="G32" s="529"/>
      <c r="H32" s="533">
        <f>H31*H38</f>
        <v>222000</v>
      </c>
      <c r="I32" s="529"/>
      <c r="J32" s="529">
        <f>J31*J38</f>
        <v>21203.1816</v>
      </c>
      <c r="K32" s="529"/>
      <c r="L32" s="533">
        <f>L31*L38</f>
        <v>13337.485199999999</v>
      </c>
      <c r="M32" s="529"/>
      <c r="N32" s="534">
        <f>N31*N38</f>
        <v>35224.640399999997</v>
      </c>
      <c r="O32" s="529"/>
      <c r="P32" s="533">
        <f>P31*P38</f>
        <v>18809.273999999998</v>
      </c>
      <c r="Q32" s="529"/>
      <c r="R32" s="529"/>
      <c r="S32" s="528"/>
      <c r="T32" s="529"/>
      <c r="U32" s="530"/>
      <c r="V32" s="506"/>
    </row>
    <row r="33" spans="1:26" s="507" customFormat="1" x14ac:dyDescent="0.35">
      <c r="A33" s="520"/>
      <c r="B33" s="526" t="s">
        <v>141</v>
      </c>
      <c r="C33" s="528"/>
      <c r="D33" s="536">
        <f>D34*D37</f>
        <v>5557.2420471999994</v>
      </c>
      <c r="E33" s="531"/>
      <c r="F33" s="535">
        <f>F37*F31</f>
        <v>105000</v>
      </c>
      <c r="G33" s="535"/>
      <c r="H33" s="537">
        <f>H31*H37</f>
        <v>222000</v>
      </c>
      <c r="I33" s="535"/>
      <c r="J33" s="535">
        <f>J31*J37</f>
        <v>20997.3354</v>
      </c>
      <c r="K33" s="535"/>
      <c r="L33" s="537">
        <f>L31*L37</f>
        <v>13208.0013</v>
      </c>
      <c r="M33" s="535"/>
      <c r="N33" s="535">
        <f>N31*N37</f>
        <v>34882.670099999996</v>
      </c>
      <c r="O33" s="535"/>
      <c r="P33" s="537">
        <f>P31*P37</f>
        <v>18626.6685</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8111.6031072000005</v>
      </c>
      <c r="E35" s="528"/>
      <c r="F35" s="529">
        <f>F34*F38</f>
        <v>105000</v>
      </c>
      <c r="G35" s="529"/>
      <c r="H35" s="529">
        <f>H34*H38</f>
        <v>150000</v>
      </c>
      <c r="I35" s="529"/>
      <c r="J35" s="529">
        <f>J32</f>
        <v>21203.1816</v>
      </c>
      <c r="K35" s="529"/>
      <c r="L35" s="529">
        <f>L34*L38</f>
        <v>9012.0361536</v>
      </c>
      <c r="M35" s="529"/>
      <c r="N35" s="529">
        <f>N32</f>
        <v>35224.640399999997</v>
      </c>
      <c r="O35" s="529"/>
      <c r="P35" s="529">
        <f>P34*P38</f>
        <v>12708.913461599999</v>
      </c>
      <c r="Q35" s="529"/>
      <c r="R35" s="529"/>
      <c r="S35" s="528"/>
      <c r="T35" s="529">
        <f>SUM(C35:P35)+1</f>
        <v>341261.37472240004</v>
      </c>
      <c r="U35" s="530"/>
      <c r="V35" s="506"/>
      <c r="X35" s="538"/>
      <c r="Z35" s="538"/>
    </row>
    <row r="36" spans="1:26" s="507" customFormat="1" x14ac:dyDescent="0.35">
      <c r="A36" s="524"/>
      <c r="B36" s="526" t="s">
        <v>298</v>
      </c>
      <c r="C36" s="531"/>
      <c r="D36" s="535">
        <f>D37*D34</f>
        <v>5557.2420471999994</v>
      </c>
      <c r="E36" s="531"/>
      <c r="F36" s="535">
        <f>F37*F34</f>
        <v>105000</v>
      </c>
      <c r="G36" s="535"/>
      <c r="H36" s="535">
        <f>H37*H34</f>
        <v>150000</v>
      </c>
      <c r="I36" s="535"/>
      <c r="J36" s="535">
        <f>J37*J34</f>
        <v>20997.3354</v>
      </c>
      <c r="K36" s="535"/>
      <c r="L36" s="535">
        <f>L37*L34</f>
        <v>8924.5448784</v>
      </c>
      <c r="M36" s="535"/>
      <c r="N36" s="535">
        <f>N37*N34</f>
        <v>34882.670099999996</v>
      </c>
      <c r="O36" s="535"/>
      <c r="P36" s="535">
        <f>P34*P37</f>
        <v>12585.531905399999</v>
      </c>
      <c r="Q36" s="539"/>
      <c r="R36" s="539"/>
      <c r="S36" s="528"/>
      <c r="T36" s="535">
        <f>SUM(C36:P36)+1</f>
        <v>337948.32433099992</v>
      </c>
      <c r="U36" s="530"/>
      <c r="V36" s="506"/>
      <c r="X36" s="538"/>
      <c r="Z36" s="538"/>
    </row>
    <row r="37" spans="1:26" s="491" customFormat="1" x14ac:dyDescent="0.35">
      <c r="A37" s="492"/>
      <c r="B37" s="479" t="s">
        <v>137</v>
      </c>
      <c r="C37" s="493"/>
      <c r="D37" s="494">
        <v>8.8056999999999996E-3</v>
      </c>
      <c r="E37" s="495"/>
      <c r="F37" s="494">
        <v>1</v>
      </c>
      <c r="G37" s="494"/>
      <c r="H37" s="494">
        <v>1</v>
      </c>
      <c r="I37" s="494"/>
      <c r="J37" s="494">
        <v>0.67733339999999997</v>
      </c>
      <c r="K37" s="494"/>
      <c r="L37" s="494">
        <v>0.67733339999999997</v>
      </c>
      <c r="M37" s="494"/>
      <c r="N37" s="494">
        <v>0.67733339999999997</v>
      </c>
      <c r="O37" s="494"/>
      <c r="P37" s="494">
        <v>0.67733339999999997</v>
      </c>
      <c r="Q37" s="496"/>
      <c r="R37" s="496"/>
      <c r="S37" s="493"/>
      <c r="T37" s="493"/>
      <c r="U37" s="497"/>
      <c r="V37" s="490"/>
    </row>
    <row r="38" spans="1:26" s="491" customFormat="1" x14ac:dyDescent="0.35">
      <c r="A38" s="492"/>
      <c r="B38" s="479" t="s">
        <v>138</v>
      </c>
      <c r="C38" s="493"/>
      <c r="D38" s="494">
        <v>1.28532E-2</v>
      </c>
      <c r="E38" s="495"/>
      <c r="F38" s="494">
        <v>1</v>
      </c>
      <c r="G38" s="494"/>
      <c r="H38" s="494">
        <v>1</v>
      </c>
      <c r="I38" s="494"/>
      <c r="J38" s="494">
        <v>0.68397359999999996</v>
      </c>
      <c r="K38" s="494"/>
      <c r="L38" s="494">
        <v>0.68397359999999996</v>
      </c>
      <c r="M38" s="494"/>
      <c r="N38" s="494">
        <v>0.68397359999999996</v>
      </c>
      <c r="O38" s="494"/>
      <c r="P38" s="494">
        <v>0.68397359999999996</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8.8731000000000001E-3</v>
      </c>
      <c r="E40" s="521"/>
      <c r="F40" s="541">
        <v>1.11731E-2</v>
      </c>
      <c r="G40" s="540"/>
      <c r="H40" s="541">
        <v>1.0000000000000001E-5</v>
      </c>
      <c r="I40" s="540"/>
      <c r="J40" s="541">
        <v>1.3373100000000001E-2</v>
      </c>
      <c r="K40" s="540"/>
      <c r="L40" s="541">
        <v>2.2100000000000002E-3</v>
      </c>
      <c r="M40" s="540"/>
      <c r="N40" s="541">
        <v>1.89731E-2</v>
      </c>
      <c r="O40" s="540"/>
      <c r="P40" s="541">
        <v>7.8100000000000001E-3</v>
      </c>
      <c r="Q40" s="540"/>
      <c r="R40" s="541"/>
      <c r="S40" s="521"/>
      <c r="T40" s="527"/>
      <c r="U40" s="523"/>
      <c r="V40" s="506"/>
    </row>
    <row r="41" spans="1:26" s="507" customFormat="1" x14ac:dyDescent="0.35">
      <c r="A41" s="520"/>
      <c r="B41" s="521" t="s">
        <v>13</v>
      </c>
      <c r="C41" s="521"/>
      <c r="D41" s="541">
        <v>7.2075000000000004E-3</v>
      </c>
      <c r="E41" s="521"/>
      <c r="F41" s="541">
        <v>9.5075000000000003E-3</v>
      </c>
      <c r="G41" s="540"/>
      <c r="H41" s="541">
        <v>0</v>
      </c>
      <c r="I41" s="540"/>
      <c r="J41" s="541">
        <v>1.1707499999999999E-2</v>
      </c>
      <c r="K41" s="540"/>
      <c r="L41" s="541">
        <v>2.1900000000000001E-3</v>
      </c>
      <c r="M41" s="540"/>
      <c r="N41" s="541">
        <v>1.73075E-2</v>
      </c>
      <c r="O41" s="540"/>
      <c r="P41" s="541">
        <v>7.79E-3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8.8731000000000001E-3</v>
      </c>
      <c r="E43" s="521"/>
      <c r="F43" s="541">
        <f>+F40</f>
        <v>1.11731E-2</v>
      </c>
      <c r="G43" s="540"/>
      <c r="H43" s="541">
        <v>1.1623100000000001E-2</v>
      </c>
      <c r="I43" s="540"/>
      <c r="J43" s="541">
        <f>+J40</f>
        <v>1.3373100000000001E-2</v>
      </c>
      <c r="K43" s="540"/>
      <c r="L43" s="541">
        <v>1.41031E-2</v>
      </c>
      <c r="M43" s="540"/>
      <c r="N43" s="541">
        <f>+N40</f>
        <v>1.89731E-2</v>
      </c>
      <c r="O43" s="540"/>
      <c r="P43" s="541">
        <v>2.0203100000000002E-2</v>
      </c>
      <c r="Q43" s="527"/>
      <c r="R43" s="527"/>
      <c r="S43" s="521"/>
      <c r="T43" s="540">
        <f>SUMPRODUCT(D43:P43,D35:P35)/T35</f>
        <v>1.267165250773028E-2</v>
      </c>
      <c r="U43" s="523"/>
      <c r="V43" s="506"/>
    </row>
    <row r="44" spans="1:26" s="507" customFormat="1" x14ac:dyDescent="0.35">
      <c r="A44" s="520"/>
      <c r="B44" s="521" t="s">
        <v>301</v>
      </c>
      <c r="C44" s="542"/>
      <c r="D44" s="541">
        <f>+D41</f>
        <v>7.2075000000000004E-3</v>
      </c>
      <c r="E44" s="521"/>
      <c r="F44" s="541">
        <f>+F41</f>
        <v>9.5075000000000003E-3</v>
      </c>
      <c r="G44" s="540"/>
      <c r="H44" s="541">
        <v>9.9574999999999993E-3</v>
      </c>
      <c r="I44" s="540"/>
      <c r="J44" s="541">
        <f>+J41</f>
        <v>1.1707499999999999E-2</v>
      </c>
      <c r="K44" s="540"/>
      <c r="L44" s="541">
        <v>1.2437500000000001E-2</v>
      </c>
      <c r="M44" s="540"/>
      <c r="N44" s="541">
        <f>+N41</f>
        <v>1.73075E-2</v>
      </c>
      <c r="O44" s="540"/>
      <c r="P44" s="541">
        <v>1.8537499999999998E-2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0.29701758306829473</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43451</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94</v>
      </c>
      <c r="Q56" s="521"/>
      <c r="R56" s="551">
        <v>43266</v>
      </c>
      <c r="S56" s="552"/>
      <c r="T56" s="551">
        <v>43359</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91</v>
      </c>
      <c r="Q57" s="521"/>
      <c r="R57" s="551">
        <v>43360</v>
      </c>
      <c r="S57" s="552"/>
      <c r="T57" s="551">
        <v>43450</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43437</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369</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341261</v>
      </c>
      <c r="M67" s="564"/>
      <c r="N67" s="564">
        <f>3313+47+1</f>
        <v>3361</v>
      </c>
      <c r="O67" s="564"/>
      <c r="P67" s="564">
        <v>48</v>
      </c>
      <c r="Q67" s="564"/>
      <c r="R67" s="564">
        <v>0</v>
      </c>
      <c r="S67" s="564"/>
      <c r="T67" s="565">
        <f>+L67-N67+P67-R67</f>
        <v>337948</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341261</v>
      </c>
      <c r="M70" s="564"/>
      <c r="N70" s="564">
        <f>SUM(N67:N69)</f>
        <v>3361</v>
      </c>
      <c r="O70" s="564"/>
      <c r="P70" s="564">
        <f>SUM(P67:P69)</f>
        <v>48</v>
      </c>
      <c r="Q70" s="564"/>
      <c r="R70" s="564">
        <f>SUM(R67:R69)</f>
        <v>0</v>
      </c>
      <c r="S70" s="564"/>
      <c r="T70" s="564">
        <f>SUM(T67:T69)</f>
        <v>337948</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341261</v>
      </c>
      <c r="M83" s="564"/>
      <c r="N83" s="564"/>
      <c r="O83" s="564"/>
      <c r="P83" s="564"/>
      <c r="Q83" s="564"/>
      <c r="R83" s="564"/>
      <c r="S83" s="564"/>
      <c r="T83" s="564">
        <f>SUM(T70:T82)</f>
        <v>337948</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43434</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3361-61</f>
        <v>3300</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1858+1200-416-472</f>
        <v>2170</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3+57</f>
        <v>60</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34</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143</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3300</v>
      </c>
      <c r="S95" s="521"/>
      <c r="T95" s="564">
        <f>SUM(T87:T94)</f>
        <v>2407</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62</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3300</v>
      </c>
      <c r="S99" s="521"/>
      <c r="T99" s="564">
        <f>T95+T97+T96+T98</f>
        <v>2469</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-131-84-5</f>
        <v>-220</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-18-292</f>
        <v>-310</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f>-435</f>
        <v>-435</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-32</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-70</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-64</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-167</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-7</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61</v>
      </c>
      <c r="S114" s="521"/>
      <c r="T114" s="565">
        <v>-61</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-131</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-970</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0</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-48</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-2554</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-206</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-87</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-342</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-124</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-3361</v>
      </c>
      <c r="S131" s="564"/>
      <c r="T131" s="564">
        <f>SUM(T100:T129)</f>
        <v>-2469</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NOVEMBER 2018</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61</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61</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-61</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v>0</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337948</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337948</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+'Aug 18'!Q182</f>
        <v>47211</v>
      </c>
      <c r="R180" s="565">
        <f>+'Aug 18'!R182</f>
        <v>5995</v>
      </c>
      <c r="S180" s="521"/>
      <c r="T180" s="565">
        <f>Q180+R180</f>
        <v>53206</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v>48</v>
      </c>
      <c r="R181" s="564">
        <v>0</v>
      </c>
      <c r="S181" s="521"/>
      <c r="T181" s="565">
        <f>Q181+R181</f>
        <v>48</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47259</v>
      </c>
      <c r="R182" s="565">
        <f>R181+R180</f>
        <v>5995</v>
      </c>
      <c r="S182" s="521"/>
      <c r="T182" s="565">
        <f>Q182+R182</f>
        <v>53254</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106802.48000000001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3.0161073825503357</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1.8</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14.725490196078431</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9.85</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6.0606060606060606</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4.7</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NOVEMBER 2018</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43434</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2.563E-2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1.267165250773028E-2</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1.295834749226972E-2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7.2349316212517688E-3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9.49</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9.8487667796788962E-3</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8.4500000000000006E-2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2</v>
      </c>
      <c r="R215" s="624">
        <v>282</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62</v>
      </c>
      <c r="R216" s="580">
        <f>+R268</f>
        <v>9884</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61</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'Aug 18'!R222+R221</f>
        <v>7187</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4</v>
      </c>
      <c r="R228" s="580">
        <v>801</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2537</v>
      </c>
      <c r="Q235" s="589">
        <f t="shared" ref="Q235:Q242" si="2">P235/$P$244</f>
        <v>0.99295499021526423</v>
      </c>
      <c r="R235" s="594">
        <f t="shared" ref="R235:R242" si="3">+R247+R259+R271</f>
        <v>335365</v>
      </c>
      <c r="S235" s="589">
        <f t="shared" ref="S235:S242" si="4">R235/$R$244</f>
        <v>0.99235681229064832</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10</v>
      </c>
      <c r="Q236" s="587">
        <f t="shared" si="2"/>
        <v>3.9138943248532287E-3</v>
      </c>
      <c r="R236" s="565">
        <f t="shared" si="3"/>
        <v>1152</v>
      </c>
      <c r="S236" s="587">
        <f t="shared" si="4"/>
        <v>3.4088084557387529E-3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2</v>
      </c>
      <c r="Q237" s="587">
        <f t="shared" si="2"/>
        <v>7.8277886497064581E-4</v>
      </c>
      <c r="R237" s="565">
        <f t="shared" si="3"/>
        <v>240</v>
      </c>
      <c r="S237" s="587">
        <f t="shared" si="4"/>
        <v>7.1016842827890687E-4</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0</v>
      </c>
      <c r="Q238" s="587">
        <f t="shared" si="2"/>
        <v>0</v>
      </c>
      <c r="R238" s="565">
        <f t="shared" si="3"/>
        <v>0</v>
      </c>
      <c r="S238" s="587">
        <f t="shared" si="4"/>
        <v>0</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1</v>
      </c>
      <c r="Q239" s="587">
        <f t="shared" si="2"/>
        <v>3.9138943248532291E-4</v>
      </c>
      <c r="R239" s="565">
        <f t="shared" si="3"/>
        <v>171</v>
      </c>
      <c r="S239" s="587">
        <f t="shared" si="4"/>
        <v>5.0599500514872115E-4</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0</v>
      </c>
      <c r="Q240" s="587">
        <f t="shared" si="2"/>
        <v>0</v>
      </c>
      <c r="R240" s="565">
        <f t="shared" si="3"/>
        <v>0</v>
      </c>
      <c r="S240" s="587">
        <f t="shared" si="4"/>
        <v>0</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4</v>
      </c>
      <c r="Q241" s="587">
        <f t="shared" si="2"/>
        <v>1.5655577299412916E-3</v>
      </c>
      <c r="R241" s="565">
        <f t="shared" si="3"/>
        <v>929</v>
      </c>
      <c r="S241" s="587">
        <f t="shared" si="4"/>
        <v>2.7489436244629351E-3</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1</v>
      </c>
      <c r="Q242" s="587">
        <f t="shared" si="2"/>
        <v>3.9138943248532291E-4</v>
      </c>
      <c r="R242" s="565">
        <f t="shared" si="3"/>
        <v>91</v>
      </c>
      <c r="S242" s="589">
        <f t="shared" si="4"/>
        <v>2.6927219572241883E-4</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2555</v>
      </c>
      <c r="Q244" s="587">
        <f>SUM(Q235:Q243)</f>
        <v>1</v>
      </c>
      <c r="R244" s="565">
        <f>SUM(R235:R243)</f>
        <v>337948</v>
      </c>
      <c r="S244" s="587">
        <f>SUM(S235:S243)</f>
        <v>1</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2482</v>
      </c>
      <c r="Q247" s="632">
        <f t="shared" ref="Q247:Q254" si="5">P247/$P$256</f>
        <v>0.99558764540713995</v>
      </c>
      <c r="R247" s="594">
        <v>326783</v>
      </c>
      <c r="S247" s="632">
        <f t="shared" ref="S247:S254" si="6">R247/$R$256</f>
        <v>0.99609527409285992</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10</v>
      </c>
      <c r="Q248" s="587">
        <f t="shared" si="5"/>
        <v>4.0112314480545532E-3</v>
      </c>
      <c r="R248" s="565">
        <v>1152</v>
      </c>
      <c r="S248" s="587">
        <f t="shared" si="6"/>
        <v>3.5115099492781898E-3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1</v>
      </c>
      <c r="Q249" s="587">
        <f t="shared" si="5"/>
        <v>4.0112314480545525E-4</v>
      </c>
      <c r="R249" s="565">
        <v>129</v>
      </c>
      <c r="S249" s="587">
        <f t="shared" si="6"/>
        <v>3.9321595786188061E-4</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2493</v>
      </c>
      <c r="Q256" s="587">
        <f>SUM(Q247:Q255)</f>
        <v>1</v>
      </c>
      <c r="R256" s="565">
        <f>SUM(R247:R255)</f>
        <v>328064</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55</v>
      </c>
      <c r="Q259" s="632">
        <f t="shared" ref="Q259:Q266" si="7">P259/$P$268</f>
        <v>0.88709677419354838</v>
      </c>
      <c r="R259" s="594">
        <v>8582</v>
      </c>
      <c r="S259" s="632">
        <f t="shared" ref="S259:S266" si="8">R259/$R$268</f>
        <v>0.86827195467422091</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0</v>
      </c>
      <c r="Q260" s="587">
        <f t="shared" si="7"/>
        <v>0</v>
      </c>
      <c r="R260" s="565">
        <v>0</v>
      </c>
      <c r="S260" s="587">
        <f t="shared" si="8"/>
        <v>0</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1</v>
      </c>
      <c r="Q261" s="587">
        <f t="shared" si="7"/>
        <v>1.6129032258064516E-2</v>
      </c>
      <c r="R261" s="565">
        <v>111</v>
      </c>
      <c r="S261" s="587">
        <f t="shared" si="8"/>
        <v>1.123027114528531E-2</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0</v>
      </c>
      <c r="Q262" s="587">
        <f t="shared" si="7"/>
        <v>0</v>
      </c>
      <c r="R262" s="565">
        <v>0</v>
      </c>
      <c r="S262" s="587">
        <f t="shared" si="8"/>
        <v>0</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1</v>
      </c>
      <c r="Q263" s="587">
        <f t="shared" si="7"/>
        <v>1.6129032258064516E-2</v>
      </c>
      <c r="R263" s="565">
        <v>171</v>
      </c>
      <c r="S263" s="587">
        <f t="shared" si="8"/>
        <v>1.7300687980574665E-2</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4</v>
      </c>
      <c r="Q265" s="587">
        <f t="shared" si="7"/>
        <v>6.4516129032258063E-2</v>
      </c>
      <c r="R265" s="565">
        <v>929</v>
      </c>
      <c r="S265" s="587">
        <f t="shared" si="8"/>
        <v>9.3990287333063541E-2</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1</v>
      </c>
      <c r="Q266" s="587">
        <f t="shared" si="7"/>
        <v>1.6129032258064516E-2</v>
      </c>
      <c r="R266" s="565">
        <v>91</v>
      </c>
      <c r="S266" s="587">
        <f t="shared" si="8"/>
        <v>9.2067988668555235E-3</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62</v>
      </c>
      <c r="Q268" s="587">
        <f>SUM(Q259:Q267)</f>
        <v>1</v>
      </c>
      <c r="R268" s="565">
        <f>SUM(R259:R267)</f>
        <v>9884</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2555</v>
      </c>
      <c r="Q282" s="587"/>
      <c r="R282" s="592">
        <f>+R280+R268+R256</f>
        <v>337948</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NOVEMBER 2018</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3300-000000000000}"/>
    <hyperlink ref="N232" r:id="rId2" xr:uid="{00000000-0004-0000-3300-000001000000}"/>
    <hyperlink ref="P294" r:id="rId3" xr:uid="{00000000-0004-0000-33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2D2926"/>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0.69099999999999995</v>
      </c>
      <c r="R16" s="514" t="s">
        <v>147</v>
      </c>
      <c r="S16" s="513">
        <v>0.309</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43542</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5557.2420471999994</v>
      </c>
      <c r="E32" s="528"/>
      <c r="F32" s="529">
        <f>F31*F38</f>
        <v>105000</v>
      </c>
      <c r="G32" s="529"/>
      <c r="H32" s="533">
        <f>H31*H38</f>
        <v>222000</v>
      </c>
      <c r="I32" s="529"/>
      <c r="J32" s="529">
        <f>J31*J38</f>
        <v>20997.3354</v>
      </c>
      <c r="K32" s="529"/>
      <c r="L32" s="533">
        <f>L31*L38</f>
        <v>13208.0013</v>
      </c>
      <c r="M32" s="529"/>
      <c r="N32" s="534">
        <f>N31*N38</f>
        <v>34882.670099999996</v>
      </c>
      <c r="O32" s="529"/>
      <c r="P32" s="533">
        <f>P31*P38</f>
        <v>18626.6685</v>
      </c>
      <c r="Q32" s="529"/>
      <c r="R32" s="529"/>
      <c r="S32" s="528"/>
      <c r="T32" s="529"/>
      <c r="U32" s="530"/>
      <c r="V32" s="506"/>
    </row>
    <row r="33" spans="1:26" s="507" customFormat="1" x14ac:dyDescent="0.35">
      <c r="A33" s="520"/>
      <c r="B33" s="526" t="s">
        <v>141</v>
      </c>
      <c r="C33" s="528"/>
      <c r="D33" s="536">
        <f>D34*D37</f>
        <v>2357.0804504000002</v>
      </c>
      <c r="E33" s="531"/>
      <c r="F33" s="535">
        <f>F37*F31</f>
        <v>105000</v>
      </c>
      <c r="G33" s="535"/>
      <c r="H33" s="537">
        <f>H31*H37</f>
        <v>222000</v>
      </c>
      <c r="I33" s="535"/>
      <c r="J33" s="535">
        <f>J31*J37</f>
        <v>20739.446400000001</v>
      </c>
      <c r="K33" s="535"/>
      <c r="L33" s="537">
        <f>L31*L37</f>
        <v>13045.7808</v>
      </c>
      <c r="M33" s="535"/>
      <c r="N33" s="535">
        <f>N31*N37</f>
        <v>34454.241600000001</v>
      </c>
      <c r="O33" s="535"/>
      <c r="P33" s="537">
        <f>P31*P37</f>
        <v>18397.896000000001</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5557.2420471999994</v>
      </c>
      <c r="E35" s="528"/>
      <c r="F35" s="529">
        <f>F34*F38</f>
        <v>105000</v>
      </c>
      <c r="G35" s="529"/>
      <c r="H35" s="529">
        <f>H34*H38</f>
        <v>150000</v>
      </c>
      <c r="I35" s="529"/>
      <c r="J35" s="529">
        <f>J32</f>
        <v>20997.3354</v>
      </c>
      <c r="K35" s="529"/>
      <c r="L35" s="529">
        <f>L34*L38</f>
        <v>8924.5448784</v>
      </c>
      <c r="M35" s="529"/>
      <c r="N35" s="529">
        <f>N32</f>
        <v>34882.670099999996</v>
      </c>
      <c r="O35" s="529"/>
      <c r="P35" s="529">
        <f>P34*P38</f>
        <v>12585.531905399999</v>
      </c>
      <c r="Q35" s="529"/>
      <c r="R35" s="529"/>
      <c r="S35" s="528"/>
      <c r="T35" s="529">
        <f>SUM(C35:P35)+1</f>
        <v>337948.32433099992</v>
      </c>
      <c r="U35" s="530"/>
      <c r="V35" s="506"/>
      <c r="X35" s="538"/>
      <c r="Z35" s="538"/>
    </row>
    <row r="36" spans="1:26" s="507" customFormat="1" x14ac:dyDescent="0.35">
      <c r="A36" s="524"/>
      <c r="B36" s="526" t="s">
        <v>298</v>
      </c>
      <c r="C36" s="531"/>
      <c r="D36" s="535">
        <f>D37*D34</f>
        <v>2357.0804504000002</v>
      </c>
      <c r="E36" s="531"/>
      <c r="F36" s="535">
        <f>F37*F34</f>
        <v>105000</v>
      </c>
      <c r="G36" s="535"/>
      <c r="H36" s="535">
        <f>H37*H34</f>
        <v>150000</v>
      </c>
      <c r="I36" s="535"/>
      <c r="J36" s="535">
        <f>J37*J34</f>
        <v>20739.446400000001</v>
      </c>
      <c r="K36" s="535"/>
      <c r="L36" s="535">
        <f>L37*L34</f>
        <v>8814.9337343999996</v>
      </c>
      <c r="M36" s="535"/>
      <c r="N36" s="535">
        <f>N37*N34</f>
        <v>34454.241600000001</v>
      </c>
      <c r="O36" s="535"/>
      <c r="P36" s="535">
        <f>P34*P37</f>
        <v>12430.9565664</v>
      </c>
      <c r="Q36" s="539"/>
      <c r="R36" s="539"/>
      <c r="S36" s="528"/>
      <c r="T36" s="535">
        <f>SUM(C36:P36)</f>
        <v>333796.65875120007</v>
      </c>
      <c r="U36" s="530"/>
      <c r="V36" s="506"/>
      <c r="X36" s="538"/>
      <c r="Z36" s="538"/>
    </row>
    <row r="37" spans="1:26" s="491" customFormat="1" x14ac:dyDescent="0.35">
      <c r="A37" s="492"/>
      <c r="B37" s="479" t="s">
        <v>137</v>
      </c>
      <c r="C37" s="493"/>
      <c r="D37" s="494">
        <v>3.7349000000000002E-3</v>
      </c>
      <c r="E37" s="495"/>
      <c r="F37" s="494">
        <v>1</v>
      </c>
      <c r="G37" s="494"/>
      <c r="H37" s="494">
        <v>1</v>
      </c>
      <c r="I37" s="494"/>
      <c r="J37" s="494">
        <v>0.66901440000000001</v>
      </c>
      <c r="K37" s="494"/>
      <c r="L37" s="494">
        <v>0.66901440000000001</v>
      </c>
      <c r="M37" s="494"/>
      <c r="N37" s="494">
        <v>0.66901440000000001</v>
      </c>
      <c r="O37" s="494"/>
      <c r="P37" s="494">
        <v>0.66901440000000001</v>
      </c>
      <c r="Q37" s="496"/>
      <c r="R37" s="496"/>
      <c r="S37" s="493"/>
      <c r="T37" s="493"/>
      <c r="U37" s="497"/>
      <c r="V37" s="490"/>
    </row>
    <row r="38" spans="1:26" s="491" customFormat="1" x14ac:dyDescent="0.35">
      <c r="A38" s="492"/>
      <c r="B38" s="479" t="s">
        <v>138</v>
      </c>
      <c r="C38" s="493"/>
      <c r="D38" s="494">
        <v>8.8056999999999996E-3</v>
      </c>
      <c r="E38" s="495"/>
      <c r="F38" s="494">
        <v>1</v>
      </c>
      <c r="G38" s="494"/>
      <c r="H38" s="494">
        <v>1</v>
      </c>
      <c r="I38" s="494"/>
      <c r="J38" s="494">
        <v>0.67733339999999997</v>
      </c>
      <c r="K38" s="494"/>
      <c r="L38" s="494">
        <v>0.67733339999999997</v>
      </c>
      <c r="M38" s="494"/>
      <c r="N38" s="494">
        <v>0.67733339999999997</v>
      </c>
      <c r="O38" s="494"/>
      <c r="P38" s="494">
        <v>0.67733339999999997</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9.9638000000000001E-3</v>
      </c>
      <c r="E40" s="521"/>
      <c r="F40" s="541">
        <v>1.22638E-2</v>
      </c>
      <c r="G40" s="540"/>
      <c r="H40" s="541">
        <v>9.0000000000000006E-5</v>
      </c>
      <c r="I40" s="540"/>
      <c r="J40" s="541">
        <v>1.4463800000000001E-2</v>
      </c>
      <c r="K40" s="540"/>
      <c r="L40" s="541">
        <v>2.2899999999999999E-3</v>
      </c>
      <c r="M40" s="540"/>
      <c r="N40" s="541">
        <v>2.00638E-2</v>
      </c>
      <c r="O40" s="540"/>
      <c r="P40" s="541">
        <v>7.8899999999999994E-3</v>
      </c>
      <c r="Q40" s="540"/>
      <c r="R40" s="541"/>
      <c r="S40" s="521"/>
      <c r="T40" s="527"/>
      <c r="U40" s="523"/>
      <c r="V40" s="506"/>
    </row>
    <row r="41" spans="1:26" s="507" customFormat="1" x14ac:dyDescent="0.35">
      <c r="A41" s="520"/>
      <c r="B41" s="521" t="s">
        <v>13</v>
      </c>
      <c r="C41" s="521"/>
      <c r="D41" s="541">
        <v>8.8731000000000001E-3</v>
      </c>
      <c r="E41" s="521"/>
      <c r="F41" s="541">
        <v>1.11731E-2</v>
      </c>
      <c r="G41" s="540"/>
      <c r="H41" s="541">
        <v>1.0000000000000001E-5</v>
      </c>
      <c r="I41" s="540"/>
      <c r="J41" s="541">
        <v>1.3373100000000001E-2</v>
      </c>
      <c r="K41" s="540"/>
      <c r="L41" s="541">
        <v>2.2100000000000002E-3</v>
      </c>
      <c r="M41" s="540"/>
      <c r="N41" s="541">
        <v>1.89731E-2</v>
      </c>
      <c r="O41" s="540"/>
      <c r="P41" s="541">
        <v>7.8100000000000001E-3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9.9638000000000001E-3</v>
      </c>
      <c r="E43" s="521"/>
      <c r="F43" s="541">
        <f>+F40</f>
        <v>1.22638E-2</v>
      </c>
      <c r="G43" s="540"/>
      <c r="H43" s="541">
        <v>1.2713800000000001E-2</v>
      </c>
      <c r="I43" s="540"/>
      <c r="J43" s="541">
        <f>+J40</f>
        <v>1.4463800000000001E-2</v>
      </c>
      <c r="K43" s="540"/>
      <c r="L43" s="541">
        <v>1.51938E-2</v>
      </c>
      <c r="M43" s="540"/>
      <c r="N43" s="541">
        <f>+N40</f>
        <v>2.00638E-2</v>
      </c>
      <c r="O43" s="540"/>
      <c r="P43" s="541">
        <v>2.1293800000000002E-2</v>
      </c>
      <c r="Q43" s="527"/>
      <c r="R43" s="527"/>
      <c r="S43" s="521"/>
      <c r="T43" s="540">
        <f>SUMPRODUCT(D43:P43,D35:P35)/T35</f>
        <v>1.3781136458957191E-2</v>
      </c>
      <c r="U43" s="523"/>
      <c r="V43" s="506"/>
    </row>
    <row r="44" spans="1:26" s="507" customFormat="1" x14ac:dyDescent="0.35">
      <c r="A44" s="520"/>
      <c r="B44" s="521" t="s">
        <v>301</v>
      </c>
      <c r="C44" s="542"/>
      <c r="D44" s="541">
        <f>+D41</f>
        <v>8.8731000000000001E-3</v>
      </c>
      <c r="E44" s="521"/>
      <c r="F44" s="541">
        <f>+F41</f>
        <v>1.11731E-2</v>
      </c>
      <c r="G44" s="540"/>
      <c r="H44" s="541">
        <v>1.1623100000000001E-2</v>
      </c>
      <c r="I44" s="540"/>
      <c r="J44" s="541">
        <f>+J41</f>
        <v>1.3373100000000001E-2</v>
      </c>
      <c r="K44" s="540"/>
      <c r="L44" s="541">
        <v>1.41031E-2</v>
      </c>
      <c r="M44" s="540"/>
      <c r="N44" s="541">
        <f>+N41</f>
        <v>1.89731E-2</v>
      </c>
      <c r="O44" s="540"/>
      <c r="P44" s="541">
        <v>2.0203100000000002E-2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0.29701758415592561</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43539</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91</v>
      </c>
      <c r="Q56" s="521"/>
      <c r="R56" s="551">
        <v>43360</v>
      </c>
      <c r="S56" s="552"/>
      <c r="T56" s="551">
        <v>43450</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88</v>
      </c>
      <c r="Q57" s="521"/>
      <c r="R57" s="551">
        <v>43451</v>
      </c>
      <c r="S57" s="552"/>
      <c r="T57" s="551">
        <v>43538</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43525</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370</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337948</v>
      </c>
      <c r="M67" s="564"/>
      <c r="N67" s="564">
        <f>4151+3</f>
        <v>4154</v>
      </c>
      <c r="O67" s="564"/>
      <c r="P67" s="564">
        <v>3</v>
      </c>
      <c r="Q67" s="564"/>
      <c r="R67" s="564">
        <v>0</v>
      </c>
      <c r="S67" s="564"/>
      <c r="T67" s="565">
        <f>+L67-N67+P67-R67</f>
        <v>333797</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337948</v>
      </c>
      <c r="M70" s="564"/>
      <c r="N70" s="564">
        <f>SUM(N67:N69)</f>
        <v>4154</v>
      </c>
      <c r="O70" s="564"/>
      <c r="P70" s="564">
        <f>SUM(P67:P69)</f>
        <v>3</v>
      </c>
      <c r="Q70" s="564"/>
      <c r="R70" s="564">
        <f>SUM(R67:R69)</f>
        <v>0</v>
      </c>
      <c r="S70" s="564"/>
      <c r="T70" s="564">
        <f>SUM(T67:T69)</f>
        <v>333797</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337948</v>
      </c>
      <c r="M83" s="564"/>
      <c r="N83" s="564"/>
      <c r="O83" s="564"/>
      <c r="P83" s="564"/>
      <c r="Q83" s="564"/>
      <c r="R83" s="564"/>
      <c r="S83" s="564"/>
      <c r="T83" s="564">
        <f>SUM(T70:T82)</f>
        <v>333797</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43524</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4154-28</f>
        <v>4126</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2084+1001-510-268</f>
        <v>2307</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18+31</f>
        <v>49</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44</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133</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4126</v>
      </c>
      <c r="S95" s="521"/>
      <c r="T95" s="564">
        <f>SUM(T87:T94)</f>
        <v>2533</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-139</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4126</v>
      </c>
      <c r="S99" s="521"/>
      <c r="T99" s="564">
        <f>T95+T97+T96+T98</f>
        <v>2394</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-128-93-5</f>
        <v>-226</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-13-310</f>
        <v>-323</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-460</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-33</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-73</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-64</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-169</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-7</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28</v>
      </c>
      <c r="S114" s="521"/>
      <c r="T114" s="565">
        <v>-28</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-128</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-881</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-3</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0</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-3200</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-258</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-110</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-428</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-155</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-4154</v>
      </c>
      <c r="S131" s="564"/>
      <c r="T131" s="564">
        <f>SUM(T100:T129)</f>
        <v>-2394</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FEBRUARY 2019</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28</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28</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-28</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f>-T98</f>
        <v>139</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333797</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333797</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+'Nov 18'!Q182</f>
        <v>47259</v>
      </c>
      <c r="R180" s="565">
        <f>+'Nov 18'!R182</f>
        <v>5995</v>
      </c>
      <c r="S180" s="521"/>
      <c r="T180" s="565">
        <f>Q180+R180</f>
        <v>53254</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v>0</v>
      </c>
      <c r="R181" s="564">
        <v>3</v>
      </c>
      <c r="S181" s="521"/>
      <c r="T181" s="565">
        <f>Q181+R181</f>
        <v>3</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47259</v>
      </c>
      <c r="R182" s="565">
        <f>R181+R180</f>
        <v>5998</v>
      </c>
      <c r="S182" s="521"/>
      <c r="T182" s="565">
        <f>Q182+R182</f>
        <v>53257</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106799.48000000001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2.7662835249042144</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1.8</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13.047169811320755</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9.8699999999999992</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5.4806866952789699</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4.71</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FEBRUARY 2019</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43524</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2.6589999999999999E-2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1.3781136458957191E-2</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1.2808863541042808E-2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7.0839300720820951E-3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9.26</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1.2291831879460745E-2</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8.3799999999999999E-2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2</v>
      </c>
      <c r="R215" s="624">
        <v>282</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63</v>
      </c>
      <c r="R216" s="580">
        <f>+R268</f>
        <v>9941</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28</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'Nov 18'!R222+R221</f>
        <v>7215</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1</v>
      </c>
      <c r="R228" s="580">
        <v>91</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14.06</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2506</v>
      </c>
      <c r="Q235" s="589">
        <f t="shared" ref="Q235:Q242" si="2">P235/$P$244</f>
        <v>0.99247524752475247</v>
      </c>
      <c r="R235" s="594">
        <f t="shared" ref="R235:R242" si="3">+R247+R259+R271</f>
        <v>331315</v>
      </c>
      <c r="S235" s="589">
        <f t="shared" ref="S235:S242" si="4">R235/$R$244</f>
        <v>0.99256434299888852</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11</v>
      </c>
      <c r="Q236" s="587">
        <f t="shared" si="2"/>
        <v>4.3564356435643568E-3</v>
      </c>
      <c r="R236" s="565">
        <f t="shared" si="3"/>
        <v>1098</v>
      </c>
      <c r="S236" s="587">
        <f t="shared" si="4"/>
        <v>3.2894244106447929E-3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0</v>
      </c>
      <c r="Q237" s="587">
        <f t="shared" si="2"/>
        <v>0</v>
      </c>
      <c r="R237" s="565">
        <f t="shared" si="3"/>
        <v>0</v>
      </c>
      <c r="S237" s="587">
        <f t="shared" si="4"/>
        <v>0</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0</v>
      </c>
      <c r="Q238" s="587">
        <f t="shared" si="2"/>
        <v>0</v>
      </c>
      <c r="R238" s="565">
        <f t="shared" si="3"/>
        <v>0</v>
      </c>
      <c r="S238" s="587">
        <f t="shared" si="4"/>
        <v>0</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2</v>
      </c>
      <c r="Q239" s="587">
        <f t="shared" si="2"/>
        <v>7.9207920792079213E-4</v>
      </c>
      <c r="R239" s="565">
        <f t="shared" si="3"/>
        <v>173</v>
      </c>
      <c r="S239" s="587">
        <f t="shared" si="4"/>
        <v>5.1827907380833256E-4</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1</v>
      </c>
      <c r="Q240" s="587">
        <f t="shared" si="2"/>
        <v>3.9603960396039607E-4</v>
      </c>
      <c r="R240" s="565">
        <f t="shared" si="3"/>
        <v>111</v>
      </c>
      <c r="S240" s="587">
        <f t="shared" si="4"/>
        <v>3.3253744042037524E-4</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5</v>
      </c>
      <c r="Q241" s="587">
        <f t="shared" si="2"/>
        <v>1.9801980198019802E-3</v>
      </c>
      <c r="R241" s="565">
        <f t="shared" si="3"/>
        <v>1100</v>
      </c>
      <c r="S241" s="587">
        <f t="shared" si="4"/>
        <v>3.2954160762379528E-3</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9">
        <f t="shared" si="4"/>
        <v>0</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2525</v>
      </c>
      <c r="Q244" s="587">
        <f>SUM(Q235:Q243)</f>
        <v>1</v>
      </c>
      <c r="R244" s="565">
        <f>SUM(R235:R243)</f>
        <v>333797</v>
      </c>
      <c r="S244" s="587">
        <f>SUM(S235:S243)</f>
        <v>1</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2453</v>
      </c>
      <c r="Q247" s="632">
        <f t="shared" ref="Q247:Q254" si="5">P247/$P$256</f>
        <v>0.99634443541835904</v>
      </c>
      <c r="R247" s="594">
        <v>323008</v>
      </c>
      <c r="S247" s="632">
        <f t="shared" ref="S247:S254" si="6">R247/$R$256</f>
        <v>0.99738155229484704</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9</v>
      </c>
      <c r="Q248" s="587">
        <f t="shared" si="5"/>
        <v>3.6555645816409425E-3</v>
      </c>
      <c r="R248" s="565">
        <v>848</v>
      </c>
      <c r="S248" s="587">
        <f t="shared" si="6"/>
        <v>2.6184477051529073E-3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0</v>
      </c>
      <c r="Q249" s="587">
        <f t="shared" si="5"/>
        <v>0</v>
      </c>
      <c r="R249" s="565">
        <v>0</v>
      </c>
      <c r="S249" s="587">
        <f t="shared" si="6"/>
        <v>0</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2462</v>
      </c>
      <c r="Q256" s="587">
        <f>SUM(Q247:Q255)</f>
        <v>1</v>
      </c>
      <c r="R256" s="565">
        <f>SUM(R247:R255)</f>
        <v>323856</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53</v>
      </c>
      <c r="Q259" s="632">
        <f t="shared" ref="Q259:Q266" si="7">P259/$P$268</f>
        <v>0.84126984126984128</v>
      </c>
      <c r="R259" s="594">
        <v>8307</v>
      </c>
      <c r="S259" s="632">
        <f t="shared" ref="S259:S266" si="8">R259/$R$268</f>
        <v>0.83563021828789863</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2</v>
      </c>
      <c r="Q260" s="587">
        <f t="shared" si="7"/>
        <v>3.1746031746031744E-2</v>
      </c>
      <c r="R260" s="565">
        <v>250</v>
      </c>
      <c r="S260" s="587">
        <f t="shared" si="8"/>
        <v>2.5148375414948194E-2</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0</v>
      </c>
      <c r="Q261" s="587">
        <f t="shared" si="7"/>
        <v>0</v>
      </c>
      <c r="R261" s="565">
        <v>0</v>
      </c>
      <c r="S261" s="587">
        <f t="shared" si="8"/>
        <v>0</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0</v>
      </c>
      <c r="Q262" s="587">
        <f t="shared" si="7"/>
        <v>0</v>
      </c>
      <c r="R262" s="565">
        <v>0</v>
      </c>
      <c r="S262" s="587">
        <f t="shared" si="8"/>
        <v>0</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2</v>
      </c>
      <c r="Q263" s="587">
        <f t="shared" si="7"/>
        <v>3.1746031746031744E-2</v>
      </c>
      <c r="R263" s="565">
        <v>173</v>
      </c>
      <c r="S263" s="587">
        <f t="shared" si="8"/>
        <v>1.7402675787144151E-2</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1</v>
      </c>
      <c r="Q264" s="587">
        <f t="shared" si="7"/>
        <v>1.5873015873015872E-2</v>
      </c>
      <c r="R264" s="565">
        <v>111</v>
      </c>
      <c r="S264" s="587">
        <f t="shared" si="8"/>
        <v>1.1165878684236998E-2</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5</v>
      </c>
      <c r="Q265" s="587">
        <f t="shared" si="7"/>
        <v>7.9365079365079361E-2</v>
      </c>
      <c r="R265" s="565">
        <v>1100</v>
      </c>
      <c r="S265" s="587">
        <f t="shared" si="8"/>
        <v>0.11065285182577206</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63</v>
      </c>
      <c r="Q268" s="587">
        <f>SUM(Q259:Q267)</f>
        <v>1</v>
      </c>
      <c r="R268" s="565">
        <f>SUM(R259:R267)</f>
        <v>9941</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2525</v>
      </c>
      <c r="Q282" s="587"/>
      <c r="R282" s="592">
        <f>+R280+R268+R256</f>
        <v>333797</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FEBRUARY 2019</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3400-000000000000}"/>
    <hyperlink ref="N232" r:id="rId2" xr:uid="{00000000-0004-0000-3400-000001000000}"/>
    <hyperlink ref="P294" r:id="rId3" xr:uid="{00000000-0004-0000-34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89CB31"/>
  </sheetPr>
  <dimension ref="A1:Z29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0.69140000000000001</v>
      </c>
      <c r="R16" s="514" t="s">
        <v>147</v>
      </c>
      <c r="S16" s="513">
        <v>0.30859999999999999</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43637</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320</v>
      </c>
      <c r="K27" s="525"/>
      <c r="L27" s="525" t="s">
        <v>320</v>
      </c>
      <c r="M27" s="525"/>
      <c r="N27" s="525" t="s">
        <v>151</v>
      </c>
      <c r="O27" s="525"/>
      <c r="P27" s="525" t="s">
        <v>151</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2357.0804504000002</v>
      </c>
      <c r="E32" s="528"/>
      <c r="F32" s="529">
        <f>F31*F38</f>
        <v>105000</v>
      </c>
      <c r="G32" s="529"/>
      <c r="H32" s="533">
        <f>H31*H38</f>
        <v>222000</v>
      </c>
      <c r="I32" s="529"/>
      <c r="J32" s="529">
        <f>J31*J38</f>
        <v>20739.446400000001</v>
      </c>
      <c r="K32" s="529"/>
      <c r="L32" s="533">
        <f>L31*L38</f>
        <v>13045.7808</v>
      </c>
      <c r="M32" s="529"/>
      <c r="N32" s="534">
        <f>N31*N38</f>
        <v>34454.241600000001</v>
      </c>
      <c r="O32" s="529"/>
      <c r="P32" s="533">
        <f>P31*P38</f>
        <v>18397.896000000001</v>
      </c>
      <c r="Q32" s="529"/>
      <c r="R32" s="529"/>
      <c r="S32" s="528"/>
      <c r="T32" s="529"/>
      <c r="U32" s="530"/>
      <c r="V32" s="506"/>
    </row>
    <row r="33" spans="1:26" s="507" customFormat="1" x14ac:dyDescent="0.35">
      <c r="A33" s="520"/>
      <c r="B33" s="526" t="s">
        <v>141</v>
      </c>
      <c r="C33" s="528"/>
      <c r="D33" s="536">
        <f>D34*D37</f>
        <v>0</v>
      </c>
      <c r="E33" s="531"/>
      <c r="F33" s="535">
        <f>F37*F31</f>
        <v>104439.993</v>
      </c>
      <c r="G33" s="535"/>
      <c r="H33" s="537">
        <f>H31*H37</f>
        <v>220815.9852</v>
      </c>
      <c r="I33" s="535"/>
      <c r="J33" s="535">
        <f>J31*J37</f>
        <v>20439.887200000001</v>
      </c>
      <c r="K33" s="535"/>
      <c r="L33" s="537">
        <f>L31*L37</f>
        <v>12857.348400000001</v>
      </c>
      <c r="M33" s="535"/>
      <c r="N33" s="535">
        <f>N31*N37</f>
        <v>33956.586800000005</v>
      </c>
      <c r="O33" s="535"/>
      <c r="P33" s="537">
        <f>P31*P37</f>
        <v>18132.157999999999</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2357.0804504000002</v>
      </c>
      <c r="E35" s="528"/>
      <c r="F35" s="529">
        <f>F34*F38</f>
        <v>105000</v>
      </c>
      <c r="G35" s="529"/>
      <c r="H35" s="529">
        <f>H34*H38</f>
        <v>150000</v>
      </c>
      <c r="I35" s="529"/>
      <c r="J35" s="529">
        <f>J32</f>
        <v>20739.446400000001</v>
      </c>
      <c r="K35" s="529"/>
      <c r="L35" s="529">
        <f>L34*L38</f>
        <v>8814.9337343999996</v>
      </c>
      <c r="M35" s="529"/>
      <c r="N35" s="529">
        <f>N32</f>
        <v>34454.241600000001</v>
      </c>
      <c r="O35" s="529"/>
      <c r="P35" s="529">
        <f>P34*P38</f>
        <v>12430.9565664</v>
      </c>
      <c r="Q35" s="529"/>
      <c r="R35" s="529"/>
      <c r="S35" s="528"/>
      <c r="T35" s="529">
        <f>SUM(C35:P35)</f>
        <v>333796.65875120007</v>
      </c>
      <c r="U35" s="530"/>
      <c r="V35" s="506"/>
      <c r="X35" s="538"/>
      <c r="Z35" s="538"/>
    </row>
    <row r="36" spans="1:26" s="507" customFormat="1" x14ac:dyDescent="0.35">
      <c r="A36" s="524"/>
      <c r="B36" s="526" t="s">
        <v>298</v>
      </c>
      <c r="C36" s="531"/>
      <c r="D36" s="535">
        <f>D37*D34</f>
        <v>0</v>
      </c>
      <c r="E36" s="531"/>
      <c r="F36" s="535">
        <f>F37*F34</f>
        <v>104439.993</v>
      </c>
      <c r="G36" s="535"/>
      <c r="H36" s="535">
        <f>H37*H34</f>
        <v>149199.99</v>
      </c>
      <c r="I36" s="535"/>
      <c r="J36" s="535">
        <f>J37*J34</f>
        <v>20439.887200000001</v>
      </c>
      <c r="K36" s="535"/>
      <c r="L36" s="535">
        <f>L37*L34</f>
        <v>8687.6114111999996</v>
      </c>
      <c r="M36" s="535"/>
      <c r="N36" s="535">
        <f>N37*N34</f>
        <v>33956.586800000005</v>
      </c>
      <c r="O36" s="535"/>
      <c r="P36" s="535">
        <f>P34*P37</f>
        <v>12251.404647200001</v>
      </c>
      <c r="Q36" s="539"/>
      <c r="R36" s="539"/>
      <c r="S36" s="528"/>
      <c r="T36" s="535">
        <f>SUM(C36:P36)+1</f>
        <v>328976.47305840004</v>
      </c>
      <c r="U36" s="530"/>
      <c r="V36" s="506"/>
      <c r="X36" s="538"/>
      <c r="Z36" s="538"/>
    </row>
    <row r="37" spans="1:26" s="491" customFormat="1" x14ac:dyDescent="0.35">
      <c r="A37" s="492"/>
      <c r="B37" s="479" t="s">
        <v>137</v>
      </c>
      <c r="C37" s="493"/>
      <c r="D37" s="494">
        <v>0</v>
      </c>
      <c r="E37" s="495"/>
      <c r="F37" s="494">
        <v>0.99466659999999996</v>
      </c>
      <c r="G37" s="494"/>
      <c r="H37" s="494">
        <v>0.99466659999999996</v>
      </c>
      <c r="I37" s="494"/>
      <c r="J37" s="494">
        <v>0.65935120000000003</v>
      </c>
      <c r="K37" s="494"/>
      <c r="L37" s="494">
        <v>0.65935120000000003</v>
      </c>
      <c r="M37" s="494"/>
      <c r="N37" s="494">
        <v>0.65935120000000003</v>
      </c>
      <c r="O37" s="494"/>
      <c r="P37" s="494">
        <v>0.65935120000000003</v>
      </c>
      <c r="Q37" s="496"/>
      <c r="R37" s="496"/>
      <c r="S37" s="493"/>
      <c r="T37" s="493"/>
      <c r="U37" s="497"/>
      <c r="V37" s="490"/>
    </row>
    <row r="38" spans="1:26" s="491" customFormat="1" x14ac:dyDescent="0.35">
      <c r="A38" s="492"/>
      <c r="B38" s="479" t="s">
        <v>138</v>
      </c>
      <c r="C38" s="493"/>
      <c r="D38" s="494">
        <v>3.7349000000000002E-3</v>
      </c>
      <c r="E38" s="495"/>
      <c r="F38" s="494">
        <v>1</v>
      </c>
      <c r="G38" s="494"/>
      <c r="H38" s="494">
        <v>1</v>
      </c>
      <c r="I38" s="494"/>
      <c r="J38" s="494">
        <v>0.66901440000000001</v>
      </c>
      <c r="K38" s="494"/>
      <c r="L38" s="494">
        <v>0.66901440000000001</v>
      </c>
      <c r="M38" s="494"/>
      <c r="N38" s="494">
        <v>0.66901440000000001</v>
      </c>
      <c r="O38" s="494"/>
      <c r="P38" s="494">
        <v>0.66901440000000001</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9.3463000000000001E-3</v>
      </c>
      <c r="E40" s="521"/>
      <c r="F40" s="541">
        <v>1.16463E-2</v>
      </c>
      <c r="G40" s="540"/>
      <c r="H40" s="541">
        <v>1E-4</v>
      </c>
      <c r="I40" s="540"/>
      <c r="J40" s="541">
        <v>1.3846300000000001E-2</v>
      </c>
      <c r="K40" s="540"/>
      <c r="L40" s="541">
        <v>2.3E-3</v>
      </c>
      <c r="M40" s="540"/>
      <c r="N40" s="541">
        <v>1.94463E-2</v>
      </c>
      <c r="O40" s="540"/>
      <c r="P40" s="541">
        <v>7.9000000000000008E-3</v>
      </c>
      <c r="Q40" s="540"/>
      <c r="R40" s="541"/>
      <c r="S40" s="521"/>
      <c r="T40" s="527"/>
      <c r="U40" s="523"/>
      <c r="V40" s="506"/>
    </row>
    <row r="41" spans="1:26" s="507" customFormat="1" x14ac:dyDescent="0.35">
      <c r="A41" s="520"/>
      <c r="B41" s="521" t="s">
        <v>13</v>
      </c>
      <c r="C41" s="521"/>
      <c r="D41" s="541">
        <v>9.9638000000000001E-3</v>
      </c>
      <c r="E41" s="521"/>
      <c r="F41" s="541">
        <v>1.22638E-2</v>
      </c>
      <c r="G41" s="540"/>
      <c r="H41" s="541">
        <v>9.0000000000000006E-5</v>
      </c>
      <c r="I41" s="540"/>
      <c r="J41" s="541">
        <v>1.4463800000000001E-2</v>
      </c>
      <c r="K41" s="540"/>
      <c r="L41" s="541">
        <v>2.2899999999999999E-3</v>
      </c>
      <c r="M41" s="540"/>
      <c r="N41" s="541">
        <v>2.00638E-2</v>
      </c>
      <c r="O41" s="540"/>
      <c r="P41" s="541">
        <v>7.8899999999999994E-3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9.3463000000000001E-3</v>
      </c>
      <c r="E43" s="521"/>
      <c r="F43" s="541">
        <f>+F40</f>
        <v>1.16463E-2</v>
      </c>
      <c r="G43" s="540"/>
      <c r="H43" s="541">
        <v>1.2096300000000001E-2</v>
      </c>
      <c r="I43" s="540"/>
      <c r="J43" s="541">
        <f>+J40</f>
        <v>1.3846300000000001E-2</v>
      </c>
      <c r="K43" s="540"/>
      <c r="L43" s="541">
        <v>1.45763E-2</v>
      </c>
      <c r="M43" s="540"/>
      <c r="N43" s="541">
        <f>+N40</f>
        <v>1.94463E-2</v>
      </c>
      <c r="O43" s="540"/>
      <c r="P43" s="541">
        <v>2.0676300000000002E-2</v>
      </c>
      <c r="Q43" s="527"/>
      <c r="R43" s="527"/>
      <c r="S43" s="521"/>
      <c r="T43" s="540">
        <f>SUMPRODUCT(D43:P43,D35:P35)/T35</f>
        <v>1.3187741059013039E-2</v>
      </c>
      <c r="U43" s="523"/>
      <c r="V43" s="506"/>
    </row>
    <row r="44" spans="1:26" s="507" customFormat="1" x14ac:dyDescent="0.35">
      <c r="A44" s="520"/>
      <c r="B44" s="521" t="s">
        <v>301</v>
      </c>
      <c r="C44" s="542"/>
      <c r="D44" s="541">
        <f>+D41</f>
        <v>9.9638000000000001E-3</v>
      </c>
      <c r="E44" s="521"/>
      <c r="F44" s="541">
        <f>+F41</f>
        <v>1.22638E-2</v>
      </c>
      <c r="G44" s="540"/>
      <c r="H44" s="541">
        <v>1.2713800000000001E-2</v>
      </c>
      <c r="I44" s="540"/>
      <c r="J44" s="541">
        <f>+J41</f>
        <v>1.4463800000000001E-2</v>
      </c>
      <c r="K44" s="540"/>
      <c r="L44" s="541">
        <v>1.51938E-2</v>
      </c>
      <c r="M44" s="540"/>
      <c r="N44" s="541">
        <f>+N41</f>
        <v>2.00638E-2</v>
      </c>
      <c r="O44" s="540"/>
      <c r="P44" s="541">
        <v>2.1293800000000002E-2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0.29701740698508095</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43633</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88</v>
      </c>
      <c r="Q56" s="521"/>
      <c r="R56" s="551">
        <v>43451</v>
      </c>
      <c r="S56" s="552"/>
      <c r="T56" s="551">
        <v>43538</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94</v>
      </c>
      <c r="Q57" s="521"/>
      <c r="R57" s="551">
        <v>43539</v>
      </c>
      <c r="S57" s="552"/>
      <c r="T57" s="551">
        <v>43632</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43619</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371</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333797</v>
      </c>
      <c r="M67" s="564"/>
      <c r="N67" s="564">
        <v>4821</v>
      </c>
      <c r="O67" s="564"/>
      <c r="P67" s="564">
        <v>0</v>
      </c>
      <c r="Q67" s="564"/>
      <c r="R67" s="564">
        <v>0</v>
      </c>
      <c r="S67" s="564"/>
      <c r="T67" s="565">
        <f>+L67-N67+P67-R67</f>
        <v>328976</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333797</v>
      </c>
      <c r="M70" s="564"/>
      <c r="N70" s="564">
        <f>SUM(N67:N69)</f>
        <v>4821</v>
      </c>
      <c r="O70" s="564"/>
      <c r="P70" s="564">
        <f>SUM(P67:P69)</f>
        <v>0</v>
      </c>
      <c r="Q70" s="564"/>
      <c r="R70" s="564">
        <f>SUM(R67:R69)</f>
        <v>0</v>
      </c>
      <c r="S70" s="564"/>
      <c r="T70" s="564">
        <f>SUM(T67:T69)</f>
        <v>328976</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333797</v>
      </c>
      <c r="M83" s="564"/>
      <c r="N83" s="564"/>
      <c r="O83" s="564"/>
      <c r="P83" s="564"/>
      <c r="Q83" s="564"/>
      <c r="R83" s="564"/>
      <c r="S83" s="564"/>
      <c r="T83" s="564">
        <f>SUM(T70:T82)</f>
        <v>328976</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+R197</f>
        <v>43616</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4821-60</f>
        <v>4761</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1988+1013-560-298</f>
        <v>2143</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17+30</f>
        <v>47</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47</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103</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4761</v>
      </c>
      <c r="S95" s="521"/>
      <c r="T95" s="564">
        <f>SUM(T87:T94)</f>
        <v>2340</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-300</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4761</v>
      </c>
      <c r="S99" s="521"/>
      <c r="T99" s="564">
        <f>T95+T97+T96+T98</f>
        <v>2040</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-130-67-5</f>
        <v>-202</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f>-6-467</f>
        <v>-473</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-315</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-33</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-74</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-66</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-173</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-7</v>
      </c>
      <c r="U113" s="523"/>
      <c r="V113" s="506"/>
    </row>
    <row r="114" spans="1:22" s="507" customFormat="1" x14ac:dyDescent="0.35">
      <c r="A114" s="520">
        <f t="shared" ref="A114:A119" si="0">+A113+1</f>
        <v>9</v>
      </c>
      <c r="B114" s="521" t="s">
        <v>47</v>
      </c>
      <c r="C114" s="521"/>
      <c r="D114" s="521"/>
      <c r="E114" s="521"/>
      <c r="F114" s="521"/>
      <c r="G114" s="521"/>
      <c r="H114" s="521"/>
      <c r="I114" s="521"/>
      <c r="J114" s="521"/>
      <c r="K114" s="521"/>
      <c r="L114" s="521"/>
      <c r="M114" s="521"/>
      <c r="N114" s="521"/>
      <c r="O114" s="521"/>
      <c r="P114" s="521"/>
      <c r="Q114" s="521"/>
      <c r="R114" s="564">
        <f>-T114</f>
        <v>60</v>
      </c>
      <c r="S114" s="521"/>
      <c r="T114" s="565">
        <v>-60</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-129</v>
      </c>
      <c r="U118" s="523"/>
      <c r="V118" s="506"/>
    </row>
    <row r="119" spans="1:22" s="507" customFormat="1" x14ac:dyDescent="0.35">
      <c r="A119" s="520">
        <f t="shared" si="0"/>
        <v>14</v>
      </c>
      <c r="B119" s="521" t="s">
        <v>133</v>
      </c>
      <c r="C119" s="521"/>
      <c r="D119" s="521"/>
      <c r="E119" s="521"/>
      <c r="F119" s="521"/>
      <c r="G119" s="521"/>
      <c r="H119" s="521"/>
      <c r="I119" s="521"/>
      <c r="J119" s="521"/>
      <c r="K119" s="521"/>
      <c r="L119" s="521"/>
      <c r="M119" s="521"/>
      <c r="N119" s="521"/>
      <c r="O119" s="521"/>
      <c r="P119" s="521"/>
      <c r="Q119" s="521"/>
      <c r="R119" s="521"/>
      <c r="S119" s="521"/>
      <c r="T119" s="565">
        <f>-T99-SUM(T101:T118)</f>
        <v>-506</v>
      </c>
      <c r="U119" s="523"/>
      <c r="V119" s="506"/>
    </row>
    <row r="120" spans="1:22" x14ac:dyDescent="0.35">
      <c r="A120" s="416"/>
      <c r="B120" s="483" t="s">
        <v>39</v>
      </c>
      <c r="C120" s="417"/>
      <c r="D120" s="417"/>
      <c r="E120" s="417"/>
      <c r="F120" s="417"/>
      <c r="G120" s="417"/>
      <c r="H120" s="417"/>
      <c r="I120" s="417"/>
      <c r="J120" s="417"/>
      <c r="K120" s="417"/>
      <c r="L120" s="417"/>
      <c r="M120" s="417"/>
      <c r="N120" s="417"/>
      <c r="O120" s="417"/>
      <c r="P120" s="417"/>
      <c r="Q120" s="417"/>
      <c r="R120" s="417"/>
      <c r="S120" s="417"/>
      <c r="T120" s="434"/>
      <c r="U120" s="418"/>
      <c r="V120" s="405"/>
    </row>
    <row r="121" spans="1:22" s="507" customFormat="1" x14ac:dyDescent="0.35">
      <c r="A121" s="520"/>
      <c r="B121" s="521" t="s">
        <v>184</v>
      </c>
      <c r="C121" s="521"/>
      <c r="D121" s="521"/>
      <c r="E121" s="521"/>
      <c r="F121" s="521"/>
      <c r="G121" s="521"/>
      <c r="H121" s="521"/>
      <c r="I121" s="521"/>
      <c r="J121" s="521"/>
      <c r="K121" s="521"/>
      <c r="L121" s="521"/>
      <c r="M121" s="521"/>
      <c r="N121" s="521"/>
      <c r="O121" s="521"/>
      <c r="P121" s="521"/>
      <c r="Q121" s="521"/>
      <c r="R121" s="564">
        <f>-R181</f>
        <v>0</v>
      </c>
      <c r="S121" s="564"/>
      <c r="T121" s="565"/>
      <c r="U121" s="523"/>
      <c r="V121" s="506"/>
    </row>
    <row r="122" spans="1:22" s="507" customFormat="1" x14ac:dyDescent="0.35">
      <c r="A122" s="520"/>
      <c r="B122" s="521" t="s">
        <v>185</v>
      </c>
      <c r="C122" s="521"/>
      <c r="D122" s="521"/>
      <c r="E122" s="521"/>
      <c r="F122" s="521"/>
      <c r="G122" s="521"/>
      <c r="H122" s="521"/>
      <c r="I122" s="521"/>
      <c r="J122" s="521"/>
      <c r="K122" s="521"/>
      <c r="L122" s="521"/>
      <c r="M122" s="521"/>
      <c r="N122" s="521"/>
      <c r="O122" s="521"/>
      <c r="P122" s="521"/>
      <c r="Q122" s="521"/>
      <c r="R122" s="564">
        <v>0</v>
      </c>
      <c r="S122" s="564"/>
      <c r="T122" s="565"/>
      <c r="U122" s="523"/>
      <c r="V122" s="506"/>
    </row>
    <row r="123" spans="1:22" s="507" customFormat="1" x14ac:dyDescent="0.35">
      <c r="A123" s="520"/>
      <c r="B123" s="521" t="s">
        <v>40</v>
      </c>
      <c r="C123" s="521"/>
      <c r="D123" s="521"/>
      <c r="E123" s="521"/>
      <c r="F123" s="521"/>
      <c r="G123" s="521"/>
      <c r="H123" s="521"/>
      <c r="I123" s="521"/>
      <c r="J123" s="521"/>
      <c r="K123" s="521"/>
      <c r="L123" s="521"/>
      <c r="M123" s="521"/>
      <c r="N123" s="521"/>
      <c r="O123" s="521"/>
      <c r="P123" s="521"/>
      <c r="Q123" s="521"/>
      <c r="R123" s="564">
        <f>-Q181</f>
        <v>0</v>
      </c>
      <c r="S123" s="564"/>
      <c r="T123" s="565"/>
      <c r="U123" s="523"/>
      <c r="V123" s="506"/>
    </row>
    <row r="124" spans="1:22" s="507" customFormat="1" x14ac:dyDescent="0.35">
      <c r="A124" s="520"/>
      <c r="B124" s="521" t="s">
        <v>377</v>
      </c>
      <c r="C124" s="521"/>
      <c r="D124" s="521"/>
      <c r="E124" s="521"/>
      <c r="F124" s="521"/>
      <c r="G124" s="521"/>
      <c r="H124" s="521"/>
      <c r="I124" s="521"/>
      <c r="J124" s="521"/>
      <c r="K124" s="521"/>
      <c r="L124" s="521"/>
      <c r="M124" s="521"/>
      <c r="N124" s="521"/>
      <c r="O124" s="521"/>
      <c r="P124" s="521"/>
      <c r="Q124" s="521"/>
      <c r="R124" s="564">
        <v>-2357</v>
      </c>
      <c r="S124" s="564"/>
      <c r="T124" s="565"/>
      <c r="U124" s="523"/>
      <c r="V124" s="506"/>
    </row>
    <row r="125" spans="1:22" s="507" customFormat="1" x14ac:dyDescent="0.35">
      <c r="A125" s="520"/>
      <c r="B125" s="521" t="s">
        <v>229</v>
      </c>
      <c r="C125" s="521"/>
      <c r="D125" s="521"/>
      <c r="E125" s="521"/>
      <c r="F125" s="521"/>
      <c r="G125" s="521"/>
      <c r="H125" s="521"/>
      <c r="I125" s="521"/>
      <c r="J125" s="521"/>
      <c r="K125" s="521"/>
      <c r="L125" s="521"/>
      <c r="M125" s="521"/>
      <c r="N125" s="521"/>
      <c r="O125" s="521"/>
      <c r="P125" s="521"/>
      <c r="Q125" s="521"/>
      <c r="R125" s="564">
        <v>-560</v>
      </c>
      <c r="S125" s="564"/>
      <c r="T125" s="565"/>
      <c r="U125" s="523"/>
      <c r="V125" s="506"/>
    </row>
    <row r="126" spans="1:22" s="507" customFormat="1" x14ac:dyDescent="0.35">
      <c r="A126" s="520"/>
      <c r="B126" s="521" t="s">
        <v>228</v>
      </c>
      <c r="C126" s="521"/>
      <c r="D126" s="521"/>
      <c r="E126" s="521"/>
      <c r="F126" s="521"/>
      <c r="G126" s="521"/>
      <c r="H126" s="521"/>
      <c r="I126" s="521"/>
      <c r="J126" s="521"/>
      <c r="K126" s="521"/>
      <c r="L126" s="521"/>
      <c r="M126" s="521"/>
      <c r="N126" s="521"/>
      <c r="O126" s="521"/>
      <c r="P126" s="521"/>
      <c r="Q126" s="521"/>
      <c r="R126" s="564">
        <v>-800</v>
      </c>
      <c r="S126" s="564"/>
      <c r="T126" s="565"/>
      <c r="U126" s="523"/>
      <c r="V126" s="506"/>
    </row>
    <row r="127" spans="1:22" s="507" customFormat="1" x14ac:dyDescent="0.35">
      <c r="A127" s="520"/>
      <c r="B127" s="521" t="s">
        <v>221</v>
      </c>
      <c r="C127" s="521"/>
      <c r="D127" s="521"/>
      <c r="E127" s="521"/>
      <c r="F127" s="521"/>
      <c r="G127" s="521"/>
      <c r="H127" s="521"/>
      <c r="I127" s="521"/>
      <c r="J127" s="521"/>
      <c r="K127" s="521"/>
      <c r="L127" s="521"/>
      <c r="M127" s="521"/>
      <c r="N127" s="521"/>
      <c r="O127" s="521"/>
      <c r="P127" s="521"/>
      <c r="Q127" s="521"/>
      <c r="R127" s="564">
        <v>-299</v>
      </c>
      <c r="S127" s="564"/>
      <c r="T127" s="565"/>
      <c r="U127" s="523"/>
      <c r="V127" s="506"/>
    </row>
    <row r="128" spans="1:22" s="507" customFormat="1" x14ac:dyDescent="0.35">
      <c r="A128" s="520"/>
      <c r="B128" s="521" t="s">
        <v>220</v>
      </c>
      <c r="C128" s="521"/>
      <c r="D128" s="521"/>
      <c r="E128" s="521"/>
      <c r="F128" s="521"/>
      <c r="G128" s="521"/>
      <c r="H128" s="521"/>
      <c r="I128" s="521"/>
      <c r="J128" s="521"/>
      <c r="K128" s="521"/>
      <c r="L128" s="521"/>
      <c r="M128" s="521"/>
      <c r="N128" s="521"/>
      <c r="O128" s="521"/>
      <c r="P128" s="521"/>
      <c r="Q128" s="521"/>
      <c r="R128" s="564">
        <v>-127</v>
      </c>
      <c r="S128" s="564"/>
      <c r="T128" s="565"/>
      <c r="U128" s="523"/>
      <c r="V128" s="506"/>
    </row>
    <row r="129" spans="1:22" s="507" customFormat="1" x14ac:dyDescent="0.35">
      <c r="A129" s="520"/>
      <c r="B129" s="521" t="s">
        <v>219</v>
      </c>
      <c r="C129" s="521"/>
      <c r="D129" s="521"/>
      <c r="E129" s="521"/>
      <c r="F129" s="521"/>
      <c r="G129" s="521"/>
      <c r="H129" s="521"/>
      <c r="I129" s="521"/>
      <c r="J129" s="521"/>
      <c r="K129" s="521"/>
      <c r="L129" s="521"/>
      <c r="M129" s="521"/>
      <c r="N129" s="521"/>
      <c r="O129" s="521"/>
      <c r="P129" s="521"/>
      <c r="Q129" s="521"/>
      <c r="R129" s="564">
        <v>-498</v>
      </c>
      <c r="S129" s="564"/>
      <c r="T129" s="565"/>
      <c r="U129" s="523"/>
      <c r="V129" s="506"/>
    </row>
    <row r="130" spans="1:22" s="507" customFormat="1" x14ac:dyDescent="0.35">
      <c r="A130" s="520"/>
      <c r="B130" s="521" t="s">
        <v>218</v>
      </c>
      <c r="C130" s="521"/>
      <c r="D130" s="521"/>
      <c r="E130" s="521"/>
      <c r="F130" s="521"/>
      <c r="G130" s="521"/>
      <c r="H130" s="521"/>
      <c r="I130" s="521"/>
      <c r="J130" s="521"/>
      <c r="K130" s="521"/>
      <c r="L130" s="521"/>
      <c r="M130" s="521"/>
      <c r="N130" s="521"/>
      <c r="O130" s="521"/>
      <c r="P130" s="521"/>
      <c r="Q130" s="521"/>
      <c r="R130" s="564">
        <v>-180</v>
      </c>
      <c r="S130" s="564"/>
      <c r="T130" s="565"/>
      <c r="U130" s="523"/>
      <c r="V130" s="506"/>
    </row>
    <row r="131" spans="1:22" s="507" customFormat="1" x14ac:dyDescent="0.35">
      <c r="A131" s="520"/>
      <c r="B131" s="521" t="s">
        <v>41</v>
      </c>
      <c r="C131" s="521"/>
      <c r="D131" s="521"/>
      <c r="E131" s="521"/>
      <c r="F131" s="521"/>
      <c r="G131" s="521"/>
      <c r="H131" s="521"/>
      <c r="I131" s="521"/>
      <c r="J131" s="521"/>
      <c r="K131" s="521"/>
      <c r="L131" s="521"/>
      <c r="M131" s="521"/>
      <c r="N131" s="521"/>
      <c r="O131" s="521"/>
      <c r="P131" s="521"/>
      <c r="Q131" s="521"/>
      <c r="R131" s="564">
        <f>SUM(R121:R130)</f>
        <v>-4821</v>
      </c>
      <c r="S131" s="564"/>
      <c r="T131" s="564">
        <f>SUM(T100:T129)</f>
        <v>-2040</v>
      </c>
      <c r="U131" s="523"/>
      <c r="V131" s="506"/>
    </row>
    <row r="132" spans="1:22" s="507" customFormat="1" x14ac:dyDescent="0.35">
      <c r="A132" s="520"/>
      <c r="B132" s="521" t="s">
        <v>42</v>
      </c>
      <c r="C132" s="521"/>
      <c r="D132" s="521"/>
      <c r="E132" s="521"/>
      <c r="F132" s="521"/>
      <c r="G132" s="521"/>
      <c r="H132" s="521"/>
      <c r="I132" s="521"/>
      <c r="J132" s="521"/>
      <c r="K132" s="521"/>
      <c r="L132" s="521"/>
      <c r="M132" s="521"/>
      <c r="N132" s="521"/>
      <c r="O132" s="521"/>
      <c r="P132" s="521"/>
      <c r="Q132" s="521"/>
      <c r="R132" s="564">
        <f>R99+R131+R114</f>
        <v>0</v>
      </c>
      <c r="S132" s="564"/>
      <c r="T132" s="564">
        <f>T99+T131</f>
        <v>0</v>
      </c>
      <c r="U132" s="523"/>
      <c r="V132" s="506"/>
    </row>
    <row r="133" spans="1:22" s="507" customFormat="1" x14ac:dyDescent="0.35">
      <c r="A133" s="508"/>
      <c r="B133" s="554"/>
      <c r="C133" s="554"/>
      <c r="D133" s="554"/>
      <c r="E133" s="554"/>
      <c r="F133" s="554"/>
      <c r="G133" s="554"/>
      <c r="H133" s="554"/>
      <c r="I133" s="554"/>
      <c r="J133" s="554"/>
      <c r="K133" s="554"/>
      <c r="L133" s="554"/>
      <c r="M133" s="554"/>
      <c r="N133" s="554"/>
      <c r="O133" s="554"/>
      <c r="P133" s="554"/>
      <c r="Q133" s="554"/>
      <c r="R133" s="571"/>
      <c r="S133" s="571"/>
      <c r="T133" s="571"/>
      <c r="U133" s="554"/>
      <c r="V133" s="506"/>
    </row>
    <row r="134" spans="1:22" s="507" customFormat="1" x14ac:dyDescent="0.35">
      <c r="A134" s="508"/>
      <c r="B134" s="509"/>
      <c r="C134" s="509"/>
      <c r="D134" s="509"/>
      <c r="E134" s="509"/>
      <c r="F134" s="509"/>
      <c r="G134" s="509"/>
      <c r="H134" s="509"/>
      <c r="I134" s="509"/>
      <c r="J134" s="509"/>
      <c r="K134" s="509"/>
      <c r="L134" s="509"/>
      <c r="M134" s="509"/>
      <c r="N134" s="509"/>
      <c r="O134" s="509"/>
      <c r="P134" s="509"/>
      <c r="Q134" s="509"/>
      <c r="R134" s="509"/>
      <c r="S134" s="509"/>
      <c r="T134" s="572"/>
      <c r="U134" s="509"/>
      <c r="V134" s="506"/>
    </row>
    <row r="135" spans="1:22" s="507" customFormat="1" ht="19" thickBot="1" x14ac:dyDescent="0.5">
      <c r="A135" s="559"/>
      <c r="B135" s="560" t="str">
        <f>B63</f>
        <v>PM10 INVESTOR REPORT QUARTER ENDING MAY 2019</v>
      </c>
      <c r="C135" s="561"/>
      <c r="D135" s="561"/>
      <c r="E135" s="561"/>
      <c r="F135" s="561"/>
      <c r="G135" s="561"/>
      <c r="H135" s="561"/>
      <c r="I135" s="561"/>
      <c r="J135" s="561"/>
      <c r="K135" s="561"/>
      <c r="L135" s="561"/>
      <c r="M135" s="561"/>
      <c r="N135" s="561"/>
      <c r="O135" s="561"/>
      <c r="P135" s="561"/>
      <c r="Q135" s="561"/>
      <c r="R135" s="561"/>
      <c r="S135" s="561"/>
      <c r="T135" s="573"/>
      <c r="U135" s="563"/>
      <c r="V135" s="506"/>
    </row>
    <row r="136" spans="1:22" x14ac:dyDescent="0.35">
      <c r="A136" s="615"/>
      <c r="B136" s="616" t="s">
        <v>43</v>
      </c>
      <c r="C136" s="617"/>
      <c r="D136" s="617"/>
      <c r="E136" s="617"/>
      <c r="F136" s="617"/>
      <c r="G136" s="617"/>
      <c r="H136" s="617"/>
      <c r="I136" s="617"/>
      <c r="J136" s="617"/>
      <c r="K136" s="617"/>
      <c r="L136" s="617"/>
      <c r="M136" s="617"/>
      <c r="N136" s="617"/>
      <c r="O136" s="617"/>
      <c r="P136" s="617"/>
      <c r="Q136" s="617"/>
      <c r="R136" s="617"/>
      <c r="S136" s="617"/>
      <c r="T136" s="618"/>
      <c r="U136" s="617"/>
      <c r="V136" s="405"/>
    </row>
    <row r="137" spans="1:22" x14ac:dyDescent="0.35">
      <c r="A137" s="407"/>
      <c r="B137" s="436"/>
      <c r="C137" s="409"/>
      <c r="D137" s="409"/>
      <c r="E137" s="409"/>
      <c r="F137" s="409"/>
      <c r="G137" s="409"/>
      <c r="H137" s="409"/>
      <c r="I137" s="409"/>
      <c r="J137" s="409"/>
      <c r="K137" s="409"/>
      <c r="L137" s="409"/>
      <c r="M137" s="409"/>
      <c r="N137" s="409"/>
      <c r="O137" s="409"/>
      <c r="P137" s="409"/>
      <c r="Q137" s="409"/>
      <c r="R137" s="409"/>
      <c r="S137" s="409"/>
      <c r="T137" s="425"/>
      <c r="U137" s="409"/>
      <c r="V137" s="405"/>
    </row>
    <row r="138" spans="1:22" x14ac:dyDescent="0.35">
      <c r="A138" s="407"/>
      <c r="B138" s="480" t="s">
        <v>44</v>
      </c>
      <c r="C138" s="409"/>
      <c r="D138" s="409"/>
      <c r="E138" s="409"/>
      <c r="F138" s="409"/>
      <c r="G138" s="409"/>
      <c r="H138" s="409"/>
      <c r="I138" s="409"/>
      <c r="J138" s="409"/>
      <c r="K138" s="409"/>
      <c r="L138" s="409"/>
      <c r="M138" s="409"/>
      <c r="N138" s="409"/>
      <c r="O138" s="409"/>
      <c r="P138" s="409"/>
      <c r="Q138" s="409"/>
      <c r="R138" s="409"/>
      <c r="S138" s="409"/>
      <c r="T138" s="425"/>
      <c r="U138" s="409"/>
      <c r="V138" s="405"/>
    </row>
    <row r="139" spans="1:22" s="507" customFormat="1" x14ac:dyDescent="0.35">
      <c r="A139" s="520"/>
      <c r="B139" s="521" t="s">
        <v>45</v>
      </c>
      <c r="C139" s="521"/>
      <c r="D139" s="521"/>
      <c r="E139" s="521"/>
      <c r="F139" s="521"/>
      <c r="G139" s="521"/>
      <c r="H139" s="521"/>
      <c r="I139" s="521"/>
      <c r="J139" s="521"/>
      <c r="K139" s="521"/>
      <c r="L139" s="521"/>
      <c r="M139" s="521"/>
      <c r="N139" s="521"/>
      <c r="O139" s="521"/>
      <c r="P139" s="521"/>
      <c r="Q139" s="521"/>
      <c r="R139" s="521"/>
      <c r="S139" s="521"/>
      <c r="T139" s="565">
        <f>+T34*0.0186</f>
        <v>18606.565799999997</v>
      </c>
      <c r="U139" s="523"/>
      <c r="V139" s="506"/>
    </row>
    <row r="140" spans="1:22" s="507" customFormat="1" x14ac:dyDescent="0.35">
      <c r="A140" s="520"/>
      <c r="B140" s="521" t="s">
        <v>46</v>
      </c>
      <c r="C140" s="521"/>
      <c r="D140" s="521"/>
      <c r="E140" s="521"/>
      <c r="F140" s="521"/>
      <c r="G140" s="521"/>
      <c r="H140" s="521"/>
      <c r="I140" s="521"/>
      <c r="J140" s="521"/>
      <c r="K140" s="521"/>
      <c r="L140" s="521"/>
      <c r="M140" s="521"/>
      <c r="N140" s="521"/>
      <c r="O140" s="521"/>
      <c r="P140" s="521"/>
      <c r="Q140" s="521"/>
      <c r="R140" s="521"/>
      <c r="S140" s="521"/>
      <c r="T140" s="565">
        <v>18607</v>
      </c>
      <c r="U140" s="523"/>
      <c r="V140" s="506"/>
    </row>
    <row r="141" spans="1:22" s="507" customFormat="1" x14ac:dyDescent="0.35">
      <c r="A141" s="520"/>
      <c r="B141" s="521" t="s">
        <v>143</v>
      </c>
      <c r="C141" s="521"/>
      <c r="D141" s="521"/>
      <c r="E141" s="521"/>
      <c r="F141" s="521"/>
      <c r="G141" s="521"/>
      <c r="H141" s="521"/>
      <c r="I141" s="521"/>
      <c r="J141" s="521"/>
      <c r="K141" s="521"/>
      <c r="L141" s="521"/>
      <c r="M141" s="521"/>
      <c r="N141" s="521"/>
      <c r="O141" s="521"/>
      <c r="P141" s="521"/>
      <c r="Q141" s="521"/>
      <c r="R141" s="521"/>
      <c r="S141" s="521"/>
      <c r="T141" s="565">
        <v>0</v>
      </c>
      <c r="U141" s="523"/>
      <c r="V141" s="506"/>
    </row>
    <row r="142" spans="1:22" s="507" customFormat="1" x14ac:dyDescent="0.35">
      <c r="A142" s="520"/>
      <c r="B142" s="521" t="s">
        <v>130</v>
      </c>
      <c r="C142" s="521"/>
      <c r="D142" s="521"/>
      <c r="E142" s="521"/>
      <c r="F142" s="521"/>
      <c r="G142" s="521"/>
      <c r="H142" s="521"/>
      <c r="I142" s="521"/>
      <c r="J142" s="521"/>
      <c r="K142" s="521"/>
      <c r="L142" s="521"/>
      <c r="M142" s="521"/>
      <c r="N142" s="521"/>
      <c r="O142" s="521"/>
      <c r="P142" s="521"/>
      <c r="Q142" s="521"/>
      <c r="R142" s="521"/>
      <c r="S142" s="521"/>
      <c r="T142" s="565">
        <v>0</v>
      </c>
      <c r="U142" s="523"/>
      <c r="V142" s="506"/>
    </row>
    <row r="143" spans="1:22" s="507" customFormat="1" x14ac:dyDescent="0.35">
      <c r="A143" s="520"/>
      <c r="B143" s="521" t="s">
        <v>131</v>
      </c>
      <c r="C143" s="521"/>
      <c r="D143" s="521"/>
      <c r="E143" s="521"/>
      <c r="F143" s="521"/>
      <c r="G143" s="521"/>
      <c r="H143" s="521"/>
      <c r="I143" s="521"/>
      <c r="J143" s="521"/>
      <c r="K143" s="521"/>
      <c r="L143" s="521"/>
      <c r="M143" s="521"/>
      <c r="N143" s="521"/>
      <c r="O143" s="521"/>
      <c r="P143" s="521"/>
      <c r="Q143" s="521"/>
      <c r="R143" s="521"/>
      <c r="S143" s="521"/>
      <c r="T143" s="565">
        <v>0</v>
      </c>
      <c r="U143" s="523"/>
      <c r="V143" s="506"/>
    </row>
    <row r="144" spans="1:22" s="507" customFormat="1" x14ac:dyDescent="0.35">
      <c r="A144" s="520"/>
      <c r="B144" s="521" t="s">
        <v>186</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47</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136</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222</v>
      </c>
      <c r="C147" s="521"/>
      <c r="D147" s="521"/>
      <c r="E147" s="521"/>
      <c r="F147" s="521"/>
      <c r="G147" s="521"/>
      <c r="H147" s="521"/>
      <c r="I147" s="521"/>
      <c r="J147" s="521"/>
      <c r="K147" s="521"/>
      <c r="L147" s="521"/>
      <c r="M147" s="521"/>
      <c r="N147" s="521"/>
      <c r="O147" s="521"/>
      <c r="P147" s="521"/>
      <c r="Q147" s="521"/>
      <c r="R147" s="521"/>
      <c r="S147" s="521"/>
      <c r="T147" s="565">
        <v>0</v>
      </c>
      <c r="U147" s="523"/>
      <c r="V147" s="506"/>
      <c r="W147" s="570"/>
    </row>
    <row r="148" spans="1:23" s="507" customFormat="1" x14ac:dyDescent="0.35">
      <c r="A148" s="520"/>
      <c r="B148" s="521" t="s">
        <v>48</v>
      </c>
      <c r="C148" s="521"/>
      <c r="D148" s="521"/>
      <c r="E148" s="521"/>
      <c r="F148" s="521"/>
      <c r="G148" s="521"/>
      <c r="H148" s="521"/>
      <c r="I148" s="521"/>
      <c r="J148" s="521"/>
      <c r="K148" s="521"/>
      <c r="L148" s="521"/>
      <c r="M148" s="521"/>
      <c r="N148" s="521"/>
      <c r="O148" s="521"/>
      <c r="P148" s="521"/>
      <c r="Q148" s="521"/>
      <c r="R148" s="521"/>
      <c r="S148" s="521"/>
      <c r="T148" s="565">
        <f>SUM(T140:T147)</f>
        <v>18607</v>
      </c>
      <c r="U148" s="523"/>
      <c r="V148" s="506"/>
    </row>
    <row r="149" spans="1:23" x14ac:dyDescent="0.35">
      <c r="A149" s="420"/>
      <c r="B149" s="421"/>
      <c r="C149" s="421"/>
      <c r="D149" s="421"/>
      <c r="E149" s="421"/>
      <c r="F149" s="421"/>
      <c r="G149" s="421"/>
      <c r="H149" s="421"/>
      <c r="I149" s="421"/>
      <c r="J149" s="421"/>
      <c r="K149" s="421"/>
      <c r="L149" s="421"/>
      <c r="M149" s="421"/>
      <c r="N149" s="421"/>
      <c r="O149" s="421"/>
      <c r="P149" s="421"/>
      <c r="Q149" s="421"/>
      <c r="R149" s="421"/>
      <c r="S149" s="421"/>
      <c r="T149" s="433"/>
      <c r="U149" s="422"/>
      <c r="V149" s="405"/>
    </row>
    <row r="150" spans="1:23" x14ac:dyDescent="0.35">
      <c r="A150" s="420"/>
      <c r="B150" s="483" t="s">
        <v>266</v>
      </c>
      <c r="C150" s="421"/>
      <c r="D150" s="421"/>
      <c r="E150" s="421"/>
      <c r="F150" s="421"/>
      <c r="G150" s="421"/>
      <c r="H150" s="421"/>
      <c r="I150" s="421"/>
      <c r="J150" s="421"/>
      <c r="K150" s="421"/>
      <c r="L150" s="421"/>
      <c r="M150" s="421"/>
      <c r="N150" s="421"/>
      <c r="O150" s="421"/>
      <c r="P150" s="421"/>
      <c r="Q150" s="421"/>
      <c r="R150" s="421"/>
      <c r="S150" s="421"/>
      <c r="T150" s="433"/>
      <c r="U150" s="422"/>
      <c r="V150" s="405"/>
    </row>
    <row r="151" spans="1:23" s="507" customFormat="1" x14ac:dyDescent="0.35">
      <c r="A151" s="520"/>
      <c r="B151" s="521" t="s">
        <v>163</v>
      </c>
      <c r="C151" s="521"/>
      <c r="D151" s="521"/>
      <c r="E151" s="521"/>
      <c r="F151" s="521"/>
      <c r="G151" s="521"/>
      <c r="H151" s="521"/>
      <c r="I151" s="521"/>
      <c r="J151" s="521"/>
      <c r="K151" s="521"/>
      <c r="L151" s="521"/>
      <c r="M151" s="521"/>
      <c r="N151" s="521"/>
      <c r="O151" s="521"/>
      <c r="P151" s="521"/>
      <c r="Q151" s="521"/>
      <c r="R151" s="521"/>
      <c r="S151" s="521"/>
      <c r="T151" s="565">
        <v>5750</v>
      </c>
      <c r="U151" s="523"/>
      <c r="V151" s="506"/>
    </row>
    <row r="152" spans="1:23" s="507" customFormat="1" x14ac:dyDescent="0.35">
      <c r="A152" s="520"/>
      <c r="B152" s="521" t="s">
        <v>264</v>
      </c>
      <c r="C152" s="521"/>
      <c r="D152" s="521"/>
      <c r="E152" s="521"/>
      <c r="F152" s="521"/>
      <c r="G152" s="521"/>
      <c r="H152" s="521"/>
      <c r="I152" s="521"/>
      <c r="J152" s="521"/>
      <c r="K152" s="521"/>
      <c r="L152" s="521"/>
      <c r="M152" s="521"/>
      <c r="N152" s="521"/>
      <c r="O152" s="521"/>
      <c r="P152" s="521"/>
      <c r="Q152" s="521"/>
      <c r="R152" s="521"/>
      <c r="S152" s="521"/>
      <c r="T152" s="565">
        <v>0</v>
      </c>
      <c r="U152" s="523"/>
      <c r="V152" s="506"/>
    </row>
    <row r="153" spans="1:23" s="507" customFormat="1" x14ac:dyDescent="0.35">
      <c r="A153" s="520"/>
      <c r="B153" s="521" t="s">
        <v>183</v>
      </c>
      <c r="C153" s="521"/>
      <c r="D153" s="521"/>
      <c r="E153" s="521"/>
      <c r="F153" s="521"/>
      <c r="G153" s="521"/>
      <c r="H153" s="521"/>
      <c r="I153" s="521"/>
      <c r="J153" s="521"/>
      <c r="K153" s="521"/>
      <c r="L153" s="521"/>
      <c r="M153" s="521"/>
      <c r="N153" s="521"/>
      <c r="O153" s="521"/>
      <c r="P153" s="521"/>
      <c r="Q153" s="521"/>
      <c r="R153" s="521"/>
      <c r="S153" s="521"/>
      <c r="T153" s="565">
        <v>0</v>
      </c>
      <c r="U153" s="523"/>
      <c r="V153" s="506"/>
    </row>
    <row r="154" spans="1:23" s="507" customFormat="1" x14ac:dyDescent="0.35">
      <c r="A154" s="520"/>
      <c r="B154" s="521" t="s">
        <v>335</v>
      </c>
      <c r="C154" s="521"/>
      <c r="D154" s="521"/>
      <c r="E154" s="521"/>
      <c r="F154" s="521"/>
      <c r="G154" s="521"/>
      <c r="H154" s="521"/>
      <c r="I154" s="521"/>
      <c r="J154" s="521"/>
      <c r="K154" s="521"/>
      <c r="L154" s="521"/>
      <c r="M154" s="521"/>
      <c r="N154" s="521"/>
      <c r="O154" s="521"/>
      <c r="P154" s="521"/>
      <c r="Q154" s="521"/>
      <c r="R154" s="521"/>
      <c r="S154" s="521"/>
      <c r="T154" s="565">
        <v>0</v>
      </c>
      <c r="U154" s="523"/>
      <c r="V154" s="506"/>
    </row>
    <row r="155" spans="1:23" x14ac:dyDescent="0.35">
      <c r="A155" s="420"/>
      <c r="B155" s="421"/>
      <c r="C155" s="421"/>
      <c r="D155" s="421"/>
      <c r="E155" s="421"/>
      <c r="F155" s="421"/>
      <c r="G155" s="421"/>
      <c r="H155" s="421"/>
      <c r="I155" s="421"/>
      <c r="J155" s="421"/>
      <c r="K155" s="421"/>
      <c r="L155" s="421"/>
      <c r="M155" s="421"/>
      <c r="N155" s="421"/>
      <c r="O155" s="421"/>
      <c r="P155" s="421"/>
      <c r="Q155" s="421"/>
      <c r="R155" s="421"/>
      <c r="S155" s="421"/>
      <c r="T155" s="433"/>
      <c r="U155" s="422"/>
      <c r="V155" s="405"/>
    </row>
    <row r="156" spans="1:23" x14ac:dyDescent="0.35">
      <c r="A156" s="407"/>
      <c r="B156" s="427"/>
      <c r="C156" s="427"/>
      <c r="D156" s="427"/>
      <c r="E156" s="427"/>
      <c r="F156" s="427"/>
      <c r="G156" s="427"/>
      <c r="H156" s="427"/>
      <c r="I156" s="427"/>
      <c r="J156" s="427"/>
      <c r="K156" s="427"/>
      <c r="L156" s="427"/>
      <c r="M156" s="427"/>
      <c r="N156" s="427"/>
      <c r="O156" s="427"/>
      <c r="P156" s="427"/>
      <c r="Q156" s="427"/>
      <c r="R156" s="427"/>
      <c r="S156" s="427"/>
      <c r="T156" s="437"/>
      <c r="U156" s="427"/>
      <c r="V156" s="405"/>
    </row>
    <row r="157" spans="1:23" x14ac:dyDescent="0.35">
      <c r="A157" s="407"/>
      <c r="B157" s="480" t="s">
        <v>24</v>
      </c>
      <c r="C157" s="409"/>
      <c r="D157" s="409"/>
      <c r="E157" s="409"/>
      <c r="F157" s="409"/>
      <c r="G157" s="409"/>
      <c r="H157" s="409"/>
      <c r="I157" s="409"/>
      <c r="J157" s="409"/>
      <c r="K157" s="409"/>
      <c r="L157" s="409"/>
      <c r="M157" s="409"/>
      <c r="N157" s="409"/>
      <c r="O157" s="409"/>
      <c r="P157" s="409"/>
      <c r="Q157" s="409"/>
      <c r="R157" s="409"/>
      <c r="S157" s="409"/>
      <c r="T157" s="425"/>
      <c r="U157" s="409"/>
      <c r="V157" s="405"/>
    </row>
    <row r="158" spans="1:23" s="507" customFormat="1" x14ac:dyDescent="0.35">
      <c r="A158" s="520"/>
      <c r="B158" s="521" t="s">
        <v>49</v>
      </c>
      <c r="C158" s="521"/>
      <c r="D158" s="521"/>
      <c r="E158" s="521"/>
      <c r="F158" s="521"/>
      <c r="G158" s="521"/>
      <c r="H158" s="521"/>
      <c r="I158" s="521"/>
      <c r="J158" s="521"/>
      <c r="K158" s="521"/>
      <c r="L158" s="521"/>
      <c r="M158" s="521"/>
      <c r="N158" s="521"/>
      <c r="O158" s="521"/>
      <c r="P158" s="521"/>
      <c r="Q158" s="521"/>
      <c r="R158" s="521"/>
      <c r="S158" s="521"/>
      <c r="T158" s="574" t="s">
        <v>125</v>
      </c>
      <c r="U158" s="523"/>
      <c r="V158" s="506"/>
    </row>
    <row r="159" spans="1:23" s="507" customFormat="1" x14ac:dyDescent="0.35">
      <c r="A159" s="520"/>
      <c r="B159" s="521" t="s">
        <v>50</v>
      </c>
      <c r="C159" s="521"/>
      <c r="D159" s="521"/>
      <c r="E159" s="521"/>
      <c r="F159" s="521"/>
      <c r="G159" s="521"/>
      <c r="H159" s="521"/>
      <c r="I159" s="521"/>
      <c r="J159" s="521"/>
      <c r="K159" s="521"/>
      <c r="L159" s="521"/>
      <c r="M159" s="521"/>
      <c r="N159" s="521"/>
      <c r="O159" s="521"/>
      <c r="P159" s="521"/>
      <c r="Q159" s="521"/>
      <c r="R159" s="521"/>
      <c r="S159" s="521"/>
      <c r="T159" s="574" t="s">
        <v>125</v>
      </c>
      <c r="U159" s="523"/>
      <c r="V159" s="506"/>
    </row>
    <row r="160" spans="1:23" s="507" customFormat="1" x14ac:dyDescent="0.35">
      <c r="A160" s="520"/>
      <c r="B160" s="521" t="s">
        <v>51</v>
      </c>
      <c r="C160" s="521"/>
      <c r="D160" s="521"/>
      <c r="E160" s="521"/>
      <c r="F160" s="521"/>
      <c r="G160" s="521"/>
      <c r="H160" s="521"/>
      <c r="I160" s="521"/>
      <c r="J160" s="521"/>
      <c r="K160" s="521"/>
      <c r="L160" s="521"/>
      <c r="M160" s="521"/>
      <c r="N160" s="521"/>
      <c r="O160" s="521"/>
      <c r="P160" s="521"/>
      <c r="Q160" s="521"/>
      <c r="R160" s="521"/>
      <c r="S160" s="521"/>
      <c r="T160" s="574" t="s">
        <v>125</v>
      </c>
      <c r="U160" s="523"/>
      <c r="V160" s="506"/>
    </row>
    <row r="161" spans="1:22" s="507" customFormat="1" x14ac:dyDescent="0.35">
      <c r="A161" s="520"/>
      <c r="B161" s="521" t="s">
        <v>52</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x14ac:dyDescent="0.35">
      <c r="A162" s="407"/>
      <c r="B162" s="427"/>
      <c r="C162" s="427"/>
      <c r="D162" s="427"/>
      <c r="E162" s="427"/>
      <c r="F162" s="427"/>
      <c r="G162" s="427"/>
      <c r="H162" s="427"/>
      <c r="I162" s="427"/>
      <c r="J162" s="427"/>
      <c r="K162" s="427"/>
      <c r="L162" s="427"/>
      <c r="M162" s="427"/>
      <c r="N162" s="427"/>
      <c r="O162" s="427"/>
      <c r="P162" s="427"/>
      <c r="Q162" s="427"/>
      <c r="R162" s="427"/>
      <c r="S162" s="427"/>
      <c r="T162" s="437"/>
      <c r="U162" s="427"/>
      <c r="V162" s="405"/>
    </row>
    <row r="163" spans="1:22" x14ac:dyDescent="0.35">
      <c r="A163" s="407"/>
      <c r="B163" s="480" t="s">
        <v>53</v>
      </c>
      <c r="C163" s="409"/>
      <c r="D163" s="409"/>
      <c r="E163" s="409"/>
      <c r="F163" s="409"/>
      <c r="G163" s="409"/>
      <c r="H163" s="409"/>
      <c r="I163" s="409"/>
      <c r="J163" s="409"/>
      <c r="K163" s="409"/>
      <c r="L163" s="409"/>
      <c r="M163" s="409"/>
      <c r="N163" s="409"/>
      <c r="O163" s="409"/>
      <c r="P163" s="409"/>
      <c r="Q163" s="409"/>
      <c r="R163" s="409"/>
      <c r="S163" s="409"/>
      <c r="T163" s="438"/>
      <c r="U163" s="409"/>
      <c r="V163" s="405"/>
    </row>
    <row r="164" spans="1:22" s="507" customFormat="1" x14ac:dyDescent="0.35">
      <c r="A164" s="520"/>
      <c r="B164" s="521" t="s">
        <v>54</v>
      </c>
      <c r="C164" s="521"/>
      <c r="D164" s="521"/>
      <c r="E164" s="521"/>
      <c r="F164" s="521"/>
      <c r="G164" s="521"/>
      <c r="H164" s="521"/>
      <c r="I164" s="521"/>
      <c r="J164" s="521"/>
      <c r="K164" s="521"/>
      <c r="L164" s="521"/>
      <c r="M164" s="521"/>
      <c r="N164" s="521"/>
      <c r="O164" s="521"/>
      <c r="P164" s="521"/>
      <c r="Q164" s="521"/>
      <c r="R164" s="521"/>
      <c r="S164" s="521"/>
      <c r="T164" s="565">
        <v>0</v>
      </c>
      <c r="U164" s="523"/>
      <c r="V164" s="506"/>
    </row>
    <row r="165" spans="1:22" s="507" customFormat="1" x14ac:dyDescent="0.35">
      <c r="A165" s="520"/>
      <c r="B165" s="521" t="s">
        <v>55</v>
      </c>
      <c r="C165" s="521"/>
      <c r="D165" s="521"/>
      <c r="E165" s="521"/>
      <c r="F165" s="521"/>
      <c r="G165" s="521"/>
      <c r="H165" s="521"/>
      <c r="I165" s="521"/>
      <c r="J165" s="521"/>
      <c r="K165" s="521"/>
      <c r="L165" s="521"/>
      <c r="M165" s="521"/>
      <c r="N165" s="521"/>
      <c r="O165" s="521"/>
      <c r="P165" s="521"/>
      <c r="Q165" s="521"/>
      <c r="R165" s="521"/>
      <c r="S165" s="521"/>
      <c r="T165" s="565">
        <v>60</v>
      </c>
      <c r="U165" s="523"/>
      <c r="V165" s="506"/>
    </row>
    <row r="166" spans="1:22" s="507" customFormat="1" x14ac:dyDescent="0.35">
      <c r="A166" s="520"/>
      <c r="B166" s="521" t="s">
        <v>56</v>
      </c>
      <c r="C166" s="521"/>
      <c r="D166" s="521"/>
      <c r="E166" s="521"/>
      <c r="F166" s="521"/>
      <c r="G166" s="521"/>
      <c r="H166" s="521"/>
      <c r="I166" s="521"/>
      <c r="J166" s="521"/>
      <c r="K166" s="521"/>
      <c r="L166" s="521"/>
      <c r="M166" s="521"/>
      <c r="N166" s="521"/>
      <c r="O166" s="521"/>
      <c r="P166" s="521"/>
      <c r="Q166" s="521"/>
      <c r="R166" s="521"/>
      <c r="S166" s="521"/>
      <c r="T166" s="565">
        <f>T165+T164</f>
        <v>60</v>
      </c>
      <c r="U166" s="523"/>
      <c r="V166" s="506"/>
    </row>
    <row r="167" spans="1:22" s="507" customFormat="1" x14ac:dyDescent="0.35">
      <c r="A167" s="520"/>
      <c r="B167" s="521" t="s">
        <v>314</v>
      </c>
      <c r="C167" s="521"/>
      <c r="D167" s="521"/>
      <c r="E167" s="521"/>
      <c r="F167" s="521"/>
      <c r="G167" s="521"/>
      <c r="H167" s="521"/>
      <c r="I167" s="521"/>
      <c r="J167" s="521"/>
      <c r="K167" s="521"/>
      <c r="L167" s="521"/>
      <c r="M167" s="521"/>
      <c r="N167" s="521"/>
      <c r="O167" s="521"/>
      <c r="P167" s="521"/>
      <c r="Q167" s="521"/>
      <c r="R167" s="521"/>
      <c r="S167" s="521"/>
      <c r="T167" s="565">
        <f>T114</f>
        <v>-60</v>
      </c>
      <c r="U167" s="523"/>
      <c r="V167" s="506"/>
    </row>
    <row r="168" spans="1:22" s="507" customFormat="1" x14ac:dyDescent="0.35">
      <c r="A168" s="520"/>
      <c r="B168" s="521" t="s">
        <v>57</v>
      </c>
      <c r="C168" s="521"/>
      <c r="D168" s="521"/>
      <c r="E168" s="521"/>
      <c r="F168" s="521"/>
      <c r="G168" s="521"/>
      <c r="H168" s="521"/>
      <c r="I168" s="521"/>
      <c r="J168" s="521"/>
      <c r="K168" s="521"/>
      <c r="L168" s="521"/>
      <c r="M168" s="521"/>
      <c r="N168" s="521"/>
      <c r="O168" s="521"/>
      <c r="P168" s="521"/>
      <c r="Q168" s="521"/>
      <c r="R168" s="521"/>
      <c r="S168" s="521"/>
      <c r="T168" s="565">
        <f>T166+T167</f>
        <v>0</v>
      </c>
      <c r="U168" s="523"/>
      <c r="V168" s="506"/>
    </row>
    <row r="169" spans="1:22" s="507" customFormat="1" x14ac:dyDescent="0.35">
      <c r="A169" s="520"/>
      <c r="B169" s="521" t="s">
        <v>285</v>
      </c>
      <c r="C169" s="521"/>
      <c r="D169" s="521"/>
      <c r="E169" s="521"/>
      <c r="F169" s="521"/>
      <c r="G169" s="521"/>
      <c r="H169" s="521"/>
      <c r="I169" s="521"/>
      <c r="J169" s="521"/>
      <c r="K169" s="521"/>
      <c r="L169" s="521"/>
      <c r="M169" s="521"/>
      <c r="N169" s="521"/>
      <c r="O169" s="521"/>
      <c r="P169" s="521"/>
      <c r="Q169" s="521"/>
      <c r="R169" s="521"/>
      <c r="S169" s="521"/>
      <c r="T169" s="565">
        <f>-T98</f>
        <v>300</v>
      </c>
      <c r="U169" s="523"/>
      <c r="V169" s="506"/>
    </row>
    <row r="170" spans="1:22" ht="16" thickBot="1" x14ac:dyDescent="0.4">
      <c r="A170" s="407"/>
      <c r="B170" s="427"/>
      <c r="C170" s="427"/>
      <c r="D170" s="427"/>
      <c r="E170" s="427"/>
      <c r="F170" s="427"/>
      <c r="G170" s="427"/>
      <c r="H170" s="427"/>
      <c r="I170" s="427"/>
      <c r="J170" s="427"/>
      <c r="K170" s="427"/>
      <c r="L170" s="427"/>
      <c r="M170" s="427"/>
      <c r="N170" s="427"/>
      <c r="O170" s="427"/>
      <c r="P170" s="427"/>
      <c r="Q170" s="427"/>
      <c r="R170" s="427"/>
      <c r="S170" s="427"/>
      <c r="T170" s="437"/>
      <c r="U170" s="427"/>
      <c r="V170" s="405"/>
    </row>
    <row r="171" spans="1:22" x14ac:dyDescent="0.35">
      <c r="A171" s="403"/>
      <c r="B171" s="404"/>
      <c r="C171" s="404"/>
      <c r="D171" s="404"/>
      <c r="E171" s="404"/>
      <c r="F171" s="404"/>
      <c r="G171" s="404"/>
      <c r="H171" s="404"/>
      <c r="I171" s="404"/>
      <c r="J171" s="404"/>
      <c r="K171" s="404"/>
      <c r="L171" s="404"/>
      <c r="M171" s="404"/>
      <c r="N171" s="404"/>
      <c r="O171" s="404"/>
      <c r="P171" s="404"/>
      <c r="Q171" s="404"/>
      <c r="R171" s="404"/>
      <c r="S171" s="404"/>
      <c r="T171" s="439"/>
      <c r="U171" s="404"/>
      <c r="V171" s="405"/>
    </row>
    <row r="172" spans="1:22" x14ac:dyDescent="0.35">
      <c r="A172" s="407"/>
      <c r="B172" s="480" t="s">
        <v>58</v>
      </c>
      <c r="C172" s="409"/>
      <c r="D172" s="409"/>
      <c r="E172" s="409"/>
      <c r="F172" s="409"/>
      <c r="G172" s="409"/>
      <c r="H172" s="409"/>
      <c r="I172" s="409"/>
      <c r="J172" s="409"/>
      <c r="K172" s="409"/>
      <c r="L172" s="409"/>
      <c r="M172" s="409"/>
      <c r="N172" s="409"/>
      <c r="O172" s="409"/>
      <c r="P172" s="409"/>
      <c r="Q172" s="409"/>
      <c r="R172" s="409"/>
      <c r="S172" s="409"/>
      <c r="T172" s="425"/>
      <c r="U172" s="409"/>
      <c r="V172" s="405"/>
    </row>
    <row r="173" spans="1:22" x14ac:dyDescent="0.35">
      <c r="A173" s="407"/>
      <c r="B173" s="436"/>
      <c r="C173" s="409"/>
      <c r="D173" s="409"/>
      <c r="E173" s="409"/>
      <c r="F173" s="409"/>
      <c r="G173" s="409"/>
      <c r="H173" s="409"/>
      <c r="I173" s="409"/>
      <c r="J173" s="409"/>
      <c r="K173" s="409"/>
      <c r="L173" s="409"/>
      <c r="M173" s="409"/>
      <c r="N173" s="409"/>
      <c r="O173" s="409"/>
      <c r="P173" s="409"/>
      <c r="Q173" s="409"/>
      <c r="R173" s="409"/>
      <c r="S173" s="409"/>
      <c r="T173" s="425"/>
      <c r="U173" s="409"/>
      <c r="V173" s="405"/>
    </row>
    <row r="174" spans="1:22" s="507" customFormat="1" x14ac:dyDescent="0.35">
      <c r="A174" s="520"/>
      <c r="B174" s="521" t="s">
        <v>59</v>
      </c>
      <c r="C174" s="521"/>
      <c r="D174" s="521"/>
      <c r="E174" s="521"/>
      <c r="F174" s="521"/>
      <c r="G174" s="521"/>
      <c r="H174" s="521"/>
      <c r="I174" s="521"/>
      <c r="J174" s="521"/>
      <c r="K174" s="521"/>
      <c r="L174" s="521"/>
      <c r="M174" s="521"/>
      <c r="N174" s="521"/>
      <c r="O174" s="521"/>
      <c r="P174" s="521"/>
      <c r="Q174" s="521"/>
      <c r="R174" s="521"/>
      <c r="S174" s="521"/>
      <c r="T174" s="565">
        <f>T70</f>
        <v>328976</v>
      </c>
      <c r="U174" s="523"/>
      <c r="V174" s="506"/>
    </row>
    <row r="175" spans="1:22" s="507" customFormat="1" x14ac:dyDescent="0.35">
      <c r="A175" s="520"/>
      <c r="B175" s="521" t="s">
        <v>60</v>
      </c>
      <c r="C175" s="521"/>
      <c r="D175" s="521"/>
      <c r="E175" s="521"/>
      <c r="F175" s="521"/>
      <c r="G175" s="521"/>
      <c r="H175" s="521"/>
      <c r="I175" s="521"/>
      <c r="J175" s="521"/>
      <c r="K175" s="521"/>
      <c r="L175" s="521"/>
      <c r="M175" s="521"/>
      <c r="N175" s="521"/>
      <c r="O175" s="521"/>
      <c r="P175" s="521"/>
      <c r="Q175" s="521"/>
      <c r="R175" s="521"/>
      <c r="S175" s="521"/>
      <c r="T175" s="565">
        <f>T83</f>
        <v>328976</v>
      </c>
      <c r="U175" s="523"/>
      <c r="V175" s="506"/>
    </row>
    <row r="176" spans="1:22" ht="16" thickBot="1" x14ac:dyDescent="0.4">
      <c r="A176" s="407"/>
      <c r="B176" s="427"/>
      <c r="C176" s="427"/>
      <c r="D176" s="427"/>
      <c r="E176" s="427"/>
      <c r="F176" s="427"/>
      <c r="G176" s="427"/>
      <c r="H176" s="427"/>
      <c r="I176" s="427"/>
      <c r="J176" s="427"/>
      <c r="K176" s="427"/>
      <c r="L176" s="427"/>
      <c r="M176" s="427"/>
      <c r="N176" s="427"/>
      <c r="O176" s="427"/>
      <c r="P176" s="427"/>
      <c r="Q176" s="427"/>
      <c r="R176" s="427"/>
      <c r="S176" s="427"/>
      <c r="T176" s="437"/>
      <c r="U176" s="427"/>
      <c r="V176" s="405"/>
    </row>
    <row r="177" spans="1:22" x14ac:dyDescent="0.35">
      <c r="A177" s="403"/>
      <c r="B177" s="404"/>
      <c r="C177" s="404"/>
      <c r="D177" s="404"/>
      <c r="E177" s="404"/>
      <c r="F177" s="404"/>
      <c r="G177" s="404"/>
      <c r="H177" s="404"/>
      <c r="I177" s="404"/>
      <c r="J177" s="404"/>
      <c r="K177" s="404"/>
      <c r="L177" s="404"/>
      <c r="M177" s="404"/>
      <c r="N177" s="404"/>
      <c r="O177" s="404"/>
      <c r="P177" s="404"/>
      <c r="Q177" s="404"/>
      <c r="R177" s="404"/>
      <c r="S177" s="404"/>
      <c r="T177" s="439"/>
      <c r="U177" s="404"/>
      <c r="V177" s="405"/>
    </row>
    <row r="178" spans="1:22" x14ac:dyDescent="0.35">
      <c r="A178" s="407"/>
      <c r="B178" s="480" t="s">
        <v>61</v>
      </c>
      <c r="C178" s="426"/>
      <c r="D178" s="426"/>
      <c r="E178" s="426"/>
      <c r="F178" s="426"/>
      <c r="G178" s="426"/>
      <c r="H178" s="440"/>
      <c r="I178" s="440"/>
      <c r="J178" s="440"/>
      <c r="K178" s="440"/>
      <c r="L178" s="440"/>
      <c r="M178" s="440"/>
      <c r="N178" s="440"/>
      <c r="O178" s="440"/>
      <c r="P178" s="440"/>
      <c r="Q178" s="481" t="s">
        <v>105</v>
      </c>
      <c r="R178" s="481" t="s">
        <v>187</v>
      </c>
      <c r="S178" s="411"/>
      <c r="T178" s="482" t="s">
        <v>121</v>
      </c>
      <c r="U178" s="441"/>
      <c r="V178" s="405"/>
    </row>
    <row r="179" spans="1:22" s="507" customFormat="1" x14ac:dyDescent="0.35">
      <c r="A179" s="520"/>
      <c r="B179" s="521" t="s">
        <v>62</v>
      </c>
      <c r="C179" s="521"/>
      <c r="D179" s="521"/>
      <c r="E179" s="521"/>
      <c r="F179" s="521"/>
      <c r="G179" s="521"/>
      <c r="H179" s="521"/>
      <c r="I179" s="521"/>
      <c r="J179" s="521"/>
      <c r="K179" s="521"/>
      <c r="L179" s="521"/>
      <c r="M179" s="521"/>
      <c r="N179" s="521"/>
      <c r="O179" s="521"/>
      <c r="P179" s="521"/>
      <c r="Q179" s="565">
        <f>+T34*0.16</f>
        <v>160056.48000000001</v>
      </c>
      <c r="R179" s="543"/>
      <c r="S179" s="521"/>
      <c r="T179" s="565"/>
      <c r="U179" s="523"/>
      <c r="V179" s="506"/>
    </row>
    <row r="180" spans="1:22" s="507" customFormat="1" x14ac:dyDescent="0.35">
      <c r="A180" s="520"/>
      <c r="B180" s="521" t="s">
        <v>63</v>
      </c>
      <c r="C180" s="521"/>
      <c r="D180" s="521"/>
      <c r="E180" s="521"/>
      <c r="F180" s="521"/>
      <c r="G180" s="521"/>
      <c r="H180" s="521"/>
      <c r="I180" s="521"/>
      <c r="J180" s="521"/>
      <c r="K180" s="521"/>
      <c r="L180" s="521"/>
      <c r="M180" s="521"/>
      <c r="N180" s="521"/>
      <c r="O180" s="521"/>
      <c r="P180" s="521"/>
      <c r="Q180" s="565">
        <f>+'Feb 19'!Q182</f>
        <v>47259</v>
      </c>
      <c r="R180" s="565">
        <f>+'Feb 19'!R182</f>
        <v>5998</v>
      </c>
      <c r="S180" s="521"/>
      <c r="T180" s="565">
        <f>Q180+R180</f>
        <v>53257</v>
      </c>
      <c r="U180" s="523"/>
      <c r="V180" s="506"/>
    </row>
    <row r="181" spans="1:22" s="507" customFormat="1" x14ac:dyDescent="0.35">
      <c r="A181" s="520"/>
      <c r="B181" s="521" t="s">
        <v>64</v>
      </c>
      <c r="C181" s="521"/>
      <c r="D181" s="521"/>
      <c r="E181" s="521"/>
      <c r="F181" s="521"/>
      <c r="G181" s="521"/>
      <c r="H181" s="521"/>
      <c r="I181" s="521"/>
      <c r="J181" s="521"/>
      <c r="K181" s="521"/>
      <c r="L181" s="521"/>
      <c r="M181" s="521"/>
      <c r="N181" s="521"/>
      <c r="O181" s="521"/>
      <c r="P181" s="521"/>
      <c r="Q181" s="564">
        <v>0</v>
      </c>
      <c r="R181" s="564">
        <v>0</v>
      </c>
      <c r="S181" s="521"/>
      <c r="T181" s="565">
        <f>Q181+R181</f>
        <v>0</v>
      </c>
      <c r="U181" s="523"/>
      <c r="V181" s="506"/>
    </row>
    <row r="182" spans="1:22" s="507" customFormat="1" x14ac:dyDescent="0.35">
      <c r="A182" s="520"/>
      <c r="B182" s="521" t="s">
        <v>65</v>
      </c>
      <c r="C182" s="521"/>
      <c r="D182" s="521"/>
      <c r="E182" s="521"/>
      <c r="F182" s="521"/>
      <c r="G182" s="521"/>
      <c r="H182" s="521"/>
      <c r="I182" s="521"/>
      <c r="J182" s="521"/>
      <c r="K182" s="521"/>
      <c r="L182" s="521"/>
      <c r="M182" s="521"/>
      <c r="N182" s="521"/>
      <c r="O182" s="521"/>
      <c r="P182" s="521"/>
      <c r="Q182" s="565">
        <f>Q180+Q181</f>
        <v>47259</v>
      </c>
      <c r="R182" s="565">
        <f>R181+R180</f>
        <v>5998</v>
      </c>
      <c r="S182" s="521"/>
      <c r="T182" s="565">
        <f>Q182+R182</f>
        <v>53257</v>
      </c>
      <c r="U182" s="523"/>
      <c r="V182" s="506"/>
    </row>
    <row r="183" spans="1:22" s="507" customFormat="1" x14ac:dyDescent="0.35">
      <c r="A183" s="520"/>
      <c r="B183" s="521" t="s">
        <v>66</v>
      </c>
      <c r="C183" s="521"/>
      <c r="D183" s="521"/>
      <c r="E183" s="521"/>
      <c r="F183" s="521"/>
      <c r="G183" s="521"/>
      <c r="H183" s="521"/>
      <c r="I183" s="521"/>
      <c r="J183" s="521"/>
      <c r="K183" s="521"/>
      <c r="L183" s="521"/>
      <c r="M183" s="521"/>
      <c r="N183" s="521"/>
      <c r="O183" s="521"/>
      <c r="P183" s="521"/>
      <c r="Q183" s="565">
        <f>Q179-Q182-R182</f>
        <v>106799.48000000001</v>
      </c>
      <c r="R183" s="543"/>
      <c r="S183" s="521"/>
      <c r="T183" s="565"/>
      <c r="U183" s="523"/>
      <c r="V183" s="506"/>
    </row>
    <row r="184" spans="1:22" ht="16" thickBot="1" x14ac:dyDescent="0.4">
      <c r="A184" s="407"/>
      <c r="B184" s="427"/>
      <c r="C184" s="427"/>
      <c r="D184" s="427"/>
      <c r="E184" s="427"/>
      <c r="F184" s="427"/>
      <c r="G184" s="427"/>
      <c r="H184" s="427"/>
      <c r="I184" s="427"/>
      <c r="J184" s="427"/>
      <c r="K184" s="427"/>
      <c r="L184" s="427"/>
      <c r="M184" s="427"/>
      <c r="N184" s="427"/>
      <c r="O184" s="427"/>
      <c r="P184" s="427"/>
      <c r="Q184" s="427"/>
      <c r="R184" s="427"/>
      <c r="S184" s="427"/>
      <c r="T184" s="437"/>
      <c r="U184" s="427"/>
      <c r="V184" s="405"/>
    </row>
    <row r="185" spans="1:22" x14ac:dyDescent="0.35">
      <c r="A185" s="403"/>
      <c r="B185" s="404"/>
      <c r="C185" s="404"/>
      <c r="D185" s="404"/>
      <c r="E185" s="404"/>
      <c r="F185" s="404"/>
      <c r="G185" s="404"/>
      <c r="H185" s="404"/>
      <c r="I185" s="404"/>
      <c r="J185" s="404"/>
      <c r="K185" s="404"/>
      <c r="L185" s="404"/>
      <c r="M185" s="404"/>
      <c r="N185" s="404"/>
      <c r="O185" s="404"/>
      <c r="P185" s="404"/>
      <c r="Q185" s="404"/>
      <c r="R185" s="404"/>
      <c r="S185" s="404"/>
      <c r="T185" s="439"/>
      <c r="U185" s="404"/>
      <c r="V185" s="405"/>
    </row>
    <row r="186" spans="1:22" x14ac:dyDescent="0.35">
      <c r="A186" s="407"/>
      <c r="B186" s="480" t="s">
        <v>67</v>
      </c>
      <c r="C186" s="409"/>
      <c r="D186" s="409"/>
      <c r="E186" s="409"/>
      <c r="F186" s="409"/>
      <c r="G186" s="409"/>
      <c r="H186" s="409"/>
      <c r="I186" s="409"/>
      <c r="J186" s="409"/>
      <c r="K186" s="409"/>
      <c r="L186" s="409"/>
      <c r="M186" s="409"/>
      <c r="N186" s="409"/>
      <c r="O186" s="409"/>
      <c r="P186" s="409"/>
      <c r="Q186" s="409"/>
      <c r="R186" s="409"/>
      <c r="S186" s="409"/>
      <c r="T186" s="442"/>
      <c r="U186" s="409"/>
      <c r="V186" s="405"/>
    </row>
    <row r="187" spans="1:22" s="507" customFormat="1" x14ac:dyDescent="0.35">
      <c r="A187" s="520"/>
      <c r="B187" s="521" t="s">
        <v>68</v>
      </c>
      <c r="C187" s="521"/>
      <c r="D187" s="521"/>
      <c r="E187" s="521"/>
      <c r="F187" s="521"/>
      <c r="G187" s="521"/>
      <c r="H187" s="521"/>
      <c r="I187" s="521"/>
      <c r="J187" s="521"/>
      <c r="K187" s="521"/>
      <c r="L187" s="521"/>
      <c r="M187" s="521"/>
      <c r="N187" s="521"/>
      <c r="O187" s="521"/>
      <c r="P187" s="521"/>
      <c r="Q187" s="521"/>
      <c r="R187" s="521"/>
      <c r="S187" s="521"/>
      <c r="T187" s="574">
        <f>(T99+T101+T102+T103+T104+T105)/-(T106+T107)</f>
        <v>2.3299492385786804</v>
      </c>
      <c r="U187" s="523" t="s">
        <v>122</v>
      </c>
      <c r="V187" s="506"/>
    </row>
    <row r="188" spans="1:22" s="507" customFormat="1" x14ac:dyDescent="0.35">
      <c r="A188" s="520"/>
      <c r="B188" s="521" t="s">
        <v>69</v>
      </c>
      <c r="C188" s="521"/>
      <c r="D188" s="521"/>
      <c r="E188" s="521"/>
      <c r="F188" s="521"/>
      <c r="G188" s="521"/>
      <c r="H188" s="521"/>
      <c r="I188" s="521"/>
      <c r="J188" s="521"/>
      <c r="K188" s="521"/>
      <c r="L188" s="521"/>
      <c r="M188" s="521"/>
      <c r="N188" s="521"/>
      <c r="O188" s="521"/>
      <c r="P188" s="521"/>
      <c r="Q188" s="521"/>
      <c r="R188" s="521"/>
      <c r="S188" s="521"/>
      <c r="T188" s="575">
        <v>1.81</v>
      </c>
      <c r="U188" s="523" t="s">
        <v>122</v>
      </c>
      <c r="V188" s="506"/>
    </row>
    <row r="189" spans="1:22" s="507" customFormat="1" x14ac:dyDescent="0.35">
      <c r="A189" s="520"/>
      <c r="B189" s="521" t="s">
        <v>70</v>
      </c>
      <c r="C189" s="521"/>
      <c r="D189" s="521"/>
      <c r="E189" s="521"/>
      <c r="F189" s="521"/>
      <c r="G189" s="521"/>
      <c r="H189" s="521"/>
      <c r="I189" s="521"/>
      <c r="J189" s="521"/>
      <c r="K189" s="521"/>
      <c r="L189" s="521"/>
      <c r="M189" s="521"/>
      <c r="N189" s="521"/>
      <c r="O189" s="521"/>
      <c r="P189" s="521"/>
      <c r="Q189" s="521"/>
      <c r="R189" s="521"/>
      <c r="S189" s="521"/>
      <c r="T189" s="574">
        <f>(T99+T101+T102+T103+T104+T105+T106+T107)/-(T108+T109)</f>
        <v>9.7943925233644862</v>
      </c>
      <c r="U189" s="523" t="s">
        <v>122</v>
      </c>
      <c r="V189" s="506"/>
    </row>
    <row r="190" spans="1:22" s="507" customFormat="1" x14ac:dyDescent="0.35">
      <c r="A190" s="520"/>
      <c r="B190" s="521" t="s">
        <v>71</v>
      </c>
      <c r="C190" s="521"/>
      <c r="D190" s="521"/>
      <c r="E190" s="521"/>
      <c r="F190" s="521"/>
      <c r="G190" s="521"/>
      <c r="H190" s="521"/>
      <c r="I190" s="521"/>
      <c r="J190" s="521"/>
      <c r="K190" s="521"/>
      <c r="L190" s="521"/>
      <c r="M190" s="521"/>
      <c r="N190" s="521"/>
      <c r="O190" s="521"/>
      <c r="P190" s="521"/>
      <c r="Q190" s="521"/>
      <c r="R190" s="521"/>
      <c r="S190" s="521"/>
      <c r="T190" s="575">
        <v>9.8699999999999992</v>
      </c>
      <c r="U190" s="523" t="s">
        <v>122</v>
      </c>
      <c r="V190" s="506"/>
    </row>
    <row r="191" spans="1:22" s="507" customFormat="1" x14ac:dyDescent="0.35">
      <c r="A191" s="520"/>
      <c r="B191" s="521" t="s">
        <v>232</v>
      </c>
      <c r="C191" s="521"/>
      <c r="D191" s="521"/>
      <c r="E191" s="521"/>
      <c r="F191" s="521"/>
      <c r="G191" s="521"/>
      <c r="H191" s="521"/>
      <c r="I191" s="521"/>
      <c r="J191" s="521"/>
      <c r="K191" s="521"/>
      <c r="L191" s="521"/>
      <c r="M191" s="521"/>
      <c r="N191" s="521"/>
      <c r="O191" s="521"/>
      <c r="P191" s="521"/>
      <c r="Q191" s="521"/>
      <c r="R191" s="521"/>
      <c r="S191" s="521"/>
      <c r="T191" s="574">
        <f>(T99+T101+T102+T103+T104+T105+T106+T107+T108+T109)/-(T110+T111)</f>
        <v>3.9372384937238492</v>
      </c>
      <c r="U191" s="523" t="s">
        <v>122</v>
      </c>
      <c r="V191" s="506"/>
    </row>
    <row r="192" spans="1:22" s="507" customFormat="1" x14ac:dyDescent="0.35">
      <c r="A192" s="520"/>
      <c r="B192" s="521" t="s">
        <v>233</v>
      </c>
      <c r="C192" s="521"/>
      <c r="D192" s="521"/>
      <c r="E192" s="521"/>
      <c r="F192" s="521"/>
      <c r="G192" s="521"/>
      <c r="H192" s="521"/>
      <c r="I192" s="521"/>
      <c r="J192" s="521"/>
      <c r="K192" s="521"/>
      <c r="L192" s="521"/>
      <c r="M192" s="521"/>
      <c r="N192" s="521"/>
      <c r="O192" s="521"/>
      <c r="P192" s="521"/>
      <c r="Q192" s="521"/>
      <c r="R192" s="521"/>
      <c r="S192" s="521"/>
      <c r="T192" s="575">
        <v>4.7</v>
      </c>
      <c r="U192" s="523" t="s">
        <v>122</v>
      </c>
      <c r="V192" s="506"/>
    </row>
    <row r="193" spans="1:22" s="507" customFormat="1" x14ac:dyDescent="0.35">
      <c r="A193" s="520"/>
      <c r="B193" s="521"/>
      <c r="C193" s="521"/>
      <c r="D193" s="521"/>
      <c r="E193" s="521"/>
      <c r="F193" s="521"/>
      <c r="G193" s="521"/>
      <c r="H193" s="521"/>
      <c r="I193" s="521"/>
      <c r="J193" s="521"/>
      <c r="K193" s="521"/>
      <c r="L193" s="521"/>
      <c r="M193" s="521"/>
      <c r="N193" s="521"/>
      <c r="O193" s="521"/>
      <c r="P193" s="521"/>
      <c r="Q193" s="521"/>
      <c r="R193" s="521"/>
      <c r="S193" s="521"/>
      <c r="T193" s="521"/>
      <c r="U193" s="523"/>
      <c r="V193" s="506"/>
    </row>
    <row r="194" spans="1:22" s="507" customFormat="1" x14ac:dyDescent="0.35">
      <c r="A194" s="508"/>
      <c r="B194" s="554"/>
      <c r="C194" s="554"/>
      <c r="D194" s="554"/>
      <c r="E194" s="554"/>
      <c r="F194" s="554"/>
      <c r="G194" s="554"/>
      <c r="H194" s="554"/>
      <c r="I194" s="554"/>
      <c r="J194" s="554"/>
      <c r="K194" s="554"/>
      <c r="L194" s="554"/>
      <c r="M194" s="554"/>
      <c r="N194" s="554"/>
      <c r="O194" s="554"/>
      <c r="P194" s="554"/>
      <c r="Q194" s="554"/>
      <c r="R194" s="554"/>
      <c r="S194" s="554"/>
      <c r="T194" s="554"/>
      <c r="U194" s="554"/>
      <c r="V194" s="506"/>
    </row>
    <row r="195" spans="1:22" s="507" customFormat="1" x14ac:dyDescent="0.35">
      <c r="A195" s="508"/>
      <c r="B195" s="509"/>
      <c r="C195" s="509"/>
      <c r="D195" s="509"/>
      <c r="E195" s="509"/>
      <c r="F195" s="509"/>
      <c r="G195" s="509"/>
      <c r="H195" s="509"/>
      <c r="I195" s="509"/>
      <c r="J195" s="509"/>
      <c r="K195" s="509"/>
      <c r="L195" s="509"/>
      <c r="M195" s="509"/>
      <c r="N195" s="509"/>
      <c r="O195" s="509"/>
      <c r="P195" s="509"/>
      <c r="Q195" s="509"/>
      <c r="R195" s="509"/>
      <c r="S195" s="509"/>
      <c r="T195" s="509"/>
      <c r="U195" s="509"/>
      <c r="V195" s="506"/>
    </row>
    <row r="196" spans="1:22" s="507" customFormat="1" ht="19" thickBot="1" x14ac:dyDescent="0.5">
      <c r="A196" s="559"/>
      <c r="B196" s="560" t="str">
        <f>B135</f>
        <v>PM10 INVESTOR REPORT QUARTER ENDING MAY 2019</v>
      </c>
      <c r="C196" s="561"/>
      <c r="D196" s="561"/>
      <c r="E196" s="561"/>
      <c r="F196" s="561"/>
      <c r="G196" s="561"/>
      <c r="H196" s="561"/>
      <c r="I196" s="561"/>
      <c r="J196" s="561"/>
      <c r="K196" s="561"/>
      <c r="L196" s="561"/>
      <c r="M196" s="561"/>
      <c r="N196" s="561"/>
      <c r="O196" s="561"/>
      <c r="P196" s="561"/>
      <c r="Q196" s="561"/>
      <c r="R196" s="561"/>
      <c r="S196" s="561"/>
      <c r="T196" s="561"/>
      <c r="U196" s="563"/>
      <c r="V196" s="506"/>
    </row>
    <row r="197" spans="1:22" x14ac:dyDescent="0.35">
      <c r="A197" s="615"/>
      <c r="B197" s="616" t="s">
        <v>72</v>
      </c>
      <c r="C197" s="619"/>
      <c r="D197" s="619"/>
      <c r="E197" s="619"/>
      <c r="F197" s="619"/>
      <c r="G197" s="620"/>
      <c r="H197" s="620"/>
      <c r="I197" s="620"/>
      <c r="J197" s="620"/>
      <c r="K197" s="620"/>
      <c r="L197" s="620"/>
      <c r="M197" s="620"/>
      <c r="N197" s="620"/>
      <c r="O197" s="620"/>
      <c r="P197" s="620"/>
      <c r="Q197" s="620"/>
      <c r="R197" s="620">
        <v>43616</v>
      </c>
      <c r="S197" s="617"/>
      <c r="T197" s="617"/>
      <c r="U197" s="617"/>
      <c r="V197" s="405"/>
    </row>
    <row r="198" spans="1:22" x14ac:dyDescent="0.35">
      <c r="A198" s="443"/>
      <c r="B198" s="444"/>
      <c r="C198" s="445"/>
      <c r="D198" s="445"/>
      <c r="E198" s="445"/>
      <c r="F198" s="445"/>
      <c r="G198" s="446"/>
      <c r="H198" s="446"/>
      <c r="I198" s="446"/>
      <c r="J198" s="446"/>
      <c r="K198" s="446"/>
      <c r="L198" s="446"/>
      <c r="M198" s="446"/>
      <c r="N198" s="446"/>
      <c r="O198" s="446"/>
      <c r="P198" s="446"/>
      <c r="Q198" s="446"/>
      <c r="R198" s="446"/>
      <c r="S198" s="409"/>
      <c r="T198" s="409"/>
      <c r="U198" s="409"/>
      <c r="V198" s="405"/>
    </row>
    <row r="199" spans="1:22" s="507" customFormat="1" x14ac:dyDescent="0.35">
      <c r="A199" s="520"/>
      <c r="B199" s="521" t="s">
        <v>73</v>
      </c>
      <c r="C199" s="576"/>
      <c r="D199" s="576"/>
      <c r="E199" s="576"/>
      <c r="F199" s="576"/>
      <c r="G199" s="548"/>
      <c r="H199" s="548"/>
      <c r="I199" s="548"/>
      <c r="J199" s="548"/>
      <c r="K199" s="548"/>
      <c r="L199" s="548"/>
      <c r="M199" s="548"/>
      <c r="N199" s="548"/>
      <c r="O199" s="548"/>
      <c r="P199" s="548"/>
      <c r="Q199" s="548"/>
      <c r="R199" s="540">
        <v>5.3960000000000001E-2</v>
      </c>
      <c r="S199" s="521"/>
      <c r="T199" s="521"/>
      <c r="U199" s="523"/>
      <c r="V199" s="506"/>
    </row>
    <row r="200" spans="1:22" s="507" customFormat="1" x14ac:dyDescent="0.35">
      <c r="A200" s="520"/>
      <c r="B200" s="521" t="s">
        <v>159</v>
      </c>
      <c r="C200" s="576"/>
      <c r="D200" s="576"/>
      <c r="E200" s="576"/>
      <c r="F200" s="576"/>
      <c r="G200" s="548"/>
      <c r="H200" s="548"/>
      <c r="I200" s="548"/>
      <c r="J200" s="548"/>
      <c r="K200" s="548"/>
      <c r="L200" s="548"/>
      <c r="M200" s="548"/>
      <c r="N200" s="548"/>
      <c r="O200" s="548"/>
      <c r="P200" s="548"/>
      <c r="Q200" s="548"/>
      <c r="R200" s="540">
        <v>4.7399999999999998E-2</v>
      </c>
      <c r="S200" s="521"/>
      <c r="T200" s="521"/>
      <c r="U200" s="523"/>
      <c r="V200" s="506"/>
    </row>
    <row r="201" spans="1:22" s="507" customFormat="1" x14ac:dyDescent="0.35">
      <c r="A201" s="520"/>
      <c r="B201" s="521" t="s">
        <v>74</v>
      </c>
      <c r="C201" s="576"/>
      <c r="D201" s="576"/>
      <c r="E201" s="576"/>
      <c r="F201" s="576"/>
      <c r="G201" s="548"/>
      <c r="H201" s="548"/>
      <c r="I201" s="548"/>
      <c r="J201" s="548"/>
      <c r="K201" s="548"/>
      <c r="L201" s="548"/>
      <c r="M201" s="548"/>
      <c r="N201" s="548"/>
      <c r="O201" s="548"/>
      <c r="P201" s="548"/>
      <c r="Q201" s="548"/>
      <c r="R201" s="540">
        <f>R199-R200</f>
        <v>6.5600000000000033E-3</v>
      </c>
      <c r="S201" s="521"/>
      <c r="T201" s="521"/>
      <c r="U201" s="523"/>
      <c r="V201" s="506"/>
    </row>
    <row r="202" spans="1:22" s="507" customFormat="1" x14ac:dyDescent="0.35">
      <c r="A202" s="520"/>
      <c r="B202" s="521" t="s">
        <v>75</v>
      </c>
      <c r="C202" s="576"/>
      <c r="D202" s="576"/>
      <c r="E202" s="576"/>
      <c r="F202" s="576"/>
      <c r="G202" s="548"/>
      <c r="H202" s="548"/>
      <c r="I202" s="548"/>
      <c r="J202" s="548"/>
      <c r="K202" s="548"/>
      <c r="L202" s="548"/>
      <c r="M202" s="548"/>
      <c r="N202" s="548"/>
      <c r="O202" s="548"/>
      <c r="P202" s="548"/>
      <c r="Q202" s="548"/>
      <c r="R202" s="540">
        <v>2.5839999999999998E-2</v>
      </c>
      <c r="S202" s="521"/>
      <c r="T202" s="521"/>
      <c r="U202" s="523"/>
      <c r="V202" s="506"/>
    </row>
    <row r="203" spans="1:22" s="507" customFormat="1" x14ac:dyDescent="0.35">
      <c r="A203" s="520"/>
      <c r="B203" s="521" t="s">
        <v>262</v>
      </c>
      <c r="C203" s="576"/>
      <c r="D203" s="576"/>
      <c r="E203" s="576"/>
      <c r="F203" s="576"/>
      <c r="G203" s="548"/>
      <c r="H203" s="548"/>
      <c r="I203" s="548"/>
      <c r="J203" s="548"/>
      <c r="K203" s="548"/>
      <c r="L203" s="548"/>
      <c r="M203" s="548"/>
      <c r="N203" s="548"/>
      <c r="O203" s="548"/>
      <c r="P203" s="548"/>
      <c r="Q203" s="548"/>
      <c r="R203" s="540">
        <f>T43</f>
        <v>1.3187741059013039E-2</v>
      </c>
      <c r="S203" s="521"/>
      <c r="T203" s="521"/>
      <c r="U203" s="523"/>
      <c r="V203" s="506"/>
    </row>
    <row r="204" spans="1:22" s="507" customFormat="1" x14ac:dyDescent="0.35">
      <c r="A204" s="520"/>
      <c r="B204" s="521" t="s">
        <v>76</v>
      </c>
      <c r="C204" s="576"/>
      <c r="D204" s="576"/>
      <c r="E204" s="576"/>
      <c r="F204" s="576"/>
      <c r="G204" s="548"/>
      <c r="H204" s="548"/>
      <c r="I204" s="548"/>
      <c r="J204" s="548"/>
      <c r="K204" s="548"/>
      <c r="L204" s="548"/>
      <c r="M204" s="548"/>
      <c r="N204" s="548"/>
      <c r="O204" s="548"/>
      <c r="P204" s="548"/>
      <c r="Q204" s="548"/>
      <c r="R204" s="540">
        <f>R202-R203</f>
        <v>1.265225894098696E-2</v>
      </c>
      <c r="S204" s="521"/>
      <c r="T204" s="521"/>
      <c r="U204" s="523"/>
      <c r="V204" s="506"/>
    </row>
    <row r="205" spans="1:22" s="507" customFormat="1" x14ac:dyDescent="0.35">
      <c r="A205" s="520"/>
      <c r="B205" s="521" t="s">
        <v>269</v>
      </c>
      <c r="C205" s="576"/>
      <c r="D205" s="576"/>
      <c r="E205" s="576"/>
      <c r="F205" s="576"/>
      <c r="G205" s="548"/>
      <c r="H205" s="548"/>
      <c r="I205" s="548"/>
      <c r="J205" s="548"/>
      <c r="K205" s="548"/>
      <c r="L205" s="548"/>
      <c r="M205" s="548"/>
      <c r="N205" s="548"/>
      <c r="O205" s="548"/>
      <c r="P205" s="548"/>
      <c r="Q205" s="548"/>
      <c r="R205" s="540">
        <f>+T99/L67</f>
        <v>6.1114989050231128E-3</v>
      </c>
      <c r="S205" s="521"/>
      <c r="T205" s="521"/>
      <c r="U205" s="523"/>
      <c r="V205" s="506"/>
    </row>
    <row r="206" spans="1:22" s="507" customFormat="1" x14ac:dyDescent="0.35">
      <c r="A206" s="520"/>
      <c r="B206" s="521" t="s">
        <v>251</v>
      </c>
      <c r="C206" s="576"/>
      <c r="D206" s="576"/>
      <c r="E206" s="576"/>
      <c r="F206" s="576"/>
      <c r="G206" s="548"/>
      <c r="H206" s="548"/>
      <c r="I206" s="548"/>
      <c r="J206" s="548"/>
      <c r="K206" s="548"/>
      <c r="L206" s="548"/>
      <c r="M206" s="548"/>
      <c r="N206" s="548"/>
      <c r="O206" s="548"/>
      <c r="P206" s="548"/>
      <c r="Q206" s="548"/>
      <c r="R206" s="577">
        <v>51653</v>
      </c>
      <c r="S206" s="521"/>
      <c r="T206" s="521"/>
      <c r="U206" s="523"/>
      <c r="V206" s="506"/>
    </row>
    <row r="207" spans="1:22" s="507" customFormat="1" x14ac:dyDescent="0.35">
      <c r="A207" s="520"/>
      <c r="B207" s="521" t="s">
        <v>252</v>
      </c>
      <c r="C207" s="576"/>
      <c r="D207" s="576"/>
      <c r="E207" s="576"/>
      <c r="F207" s="576"/>
      <c r="G207" s="548"/>
      <c r="H207" s="548"/>
      <c r="I207" s="548"/>
      <c r="J207" s="548"/>
      <c r="K207" s="548"/>
      <c r="L207" s="548"/>
      <c r="M207" s="548"/>
      <c r="N207" s="548"/>
      <c r="O207" s="548"/>
      <c r="P207" s="548"/>
      <c r="Q207" s="548"/>
      <c r="R207" s="577">
        <v>51653</v>
      </c>
      <c r="S207" s="521"/>
      <c r="T207" s="521"/>
      <c r="U207" s="523"/>
      <c r="V207" s="506"/>
    </row>
    <row r="208" spans="1:22" s="507" customFormat="1" x14ac:dyDescent="0.35">
      <c r="A208" s="520"/>
      <c r="B208" s="521" t="s">
        <v>253</v>
      </c>
      <c r="C208" s="576"/>
      <c r="D208" s="576"/>
      <c r="E208" s="576"/>
      <c r="F208" s="576"/>
      <c r="G208" s="548"/>
      <c r="H208" s="548"/>
      <c r="I208" s="548"/>
      <c r="J208" s="548"/>
      <c r="K208" s="548"/>
      <c r="L208" s="548"/>
      <c r="M208" s="548"/>
      <c r="N208" s="548"/>
      <c r="O208" s="548"/>
      <c r="P208" s="548"/>
      <c r="Q208" s="548"/>
      <c r="R208" s="577">
        <v>51653</v>
      </c>
      <c r="S208" s="521"/>
      <c r="T208" s="521"/>
      <c r="U208" s="523"/>
      <c r="V208" s="506"/>
    </row>
    <row r="209" spans="1:22" s="507" customFormat="1" x14ac:dyDescent="0.35">
      <c r="A209" s="520"/>
      <c r="B209" s="521" t="s">
        <v>77</v>
      </c>
      <c r="C209" s="576"/>
      <c r="D209" s="576"/>
      <c r="E209" s="576"/>
      <c r="F209" s="576"/>
      <c r="G209" s="548"/>
      <c r="H209" s="548"/>
      <c r="I209" s="548"/>
      <c r="J209" s="548"/>
      <c r="K209" s="548"/>
      <c r="L209" s="548"/>
      <c r="M209" s="548"/>
      <c r="N209" s="548"/>
      <c r="O209" s="548"/>
      <c r="P209" s="548"/>
      <c r="Q209" s="548"/>
      <c r="R209" s="546">
        <v>21.48</v>
      </c>
      <c r="S209" s="521" t="s">
        <v>117</v>
      </c>
      <c r="T209" s="521"/>
      <c r="U209" s="523"/>
      <c r="V209" s="506"/>
    </row>
    <row r="210" spans="1:22" s="507" customFormat="1" x14ac:dyDescent="0.35">
      <c r="A210" s="520"/>
      <c r="B210" s="521" t="s">
        <v>78</v>
      </c>
      <c r="C210" s="576"/>
      <c r="D210" s="576"/>
      <c r="E210" s="576"/>
      <c r="F210" s="576"/>
      <c r="G210" s="548"/>
      <c r="H210" s="548"/>
      <c r="I210" s="548"/>
      <c r="J210" s="548"/>
      <c r="K210" s="548"/>
      <c r="L210" s="548"/>
      <c r="M210" s="548"/>
      <c r="N210" s="548"/>
      <c r="O210" s="548"/>
      <c r="P210" s="548"/>
      <c r="Q210" s="548"/>
      <c r="R210" s="546">
        <v>9.06</v>
      </c>
      <c r="S210" s="521" t="s">
        <v>117</v>
      </c>
      <c r="T210" s="521"/>
      <c r="U210" s="523"/>
      <c r="V210" s="506"/>
    </row>
    <row r="211" spans="1:22" s="507" customFormat="1" x14ac:dyDescent="0.35">
      <c r="A211" s="520"/>
      <c r="B211" s="521" t="s">
        <v>79</v>
      </c>
      <c r="C211" s="576"/>
      <c r="D211" s="576"/>
      <c r="E211" s="576"/>
      <c r="F211" s="576"/>
      <c r="G211" s="548"/>
      <c r="H211" s="548"/>
      <c r="I211" s="548"/>
      <c r="J211" s="548"/>
      <c r="K211" s="548"/>
      <c r="L211" s="548"/>
      <c r="M211" s="548"/>
      <c r="N211" s="548"/>
      <c r="O211" s="548"/>
      <c r="P211" s="548"/>
      <c r="Q211" s="548"/>
      <c r="R211" s="540">
        <f>+N67/L67</f>
        <v>1.4442909912311975E-2</v>
      </c>
      <c r="S211" s="521"/>
      <c r="T211" s="521"/>
      <c r="U211" s="523"/>
      <c r="V211" s="506"/>
    </row>
    <row r="212" spans="1:22" s="507" customFormat="1" x14ac:dyDescent="0.35">
      <c r="A212" s="520"/>
      <c r="B212" s="521" t="s">
        <v>80</v>
      </c>
      <c r="C212" s="576"/>
      <c r="D212" s="576"/>
      <c r="E212" s="576"/>
      <c r="F212" s="576"/>
      <c r="G212" s="548"/>
      <c r="H212" s="548"/>
      <c r="I212" s="548"/>
      <c r="J212" s="548"/>
      <c r="K212" s="548"/>
      <c r="L212" s="548"/>
      <c r="M212" s="548"/>
      <c r="N212" s="548"/>
      <c r="O212" s="548"/>
      <c r="P212" s="548"/>
      <c r="Q212" s="548"/>
      <c r="R212" s="540">
        <v>8.3299999999999999E-2</v>
      </c>
      <c r="S212" s="521"/>
      <c r="T212" s="521"/>
      <c r="U212" s="523"/>
      <c r="V212" s="506"/>
    </row>
    <row r="213" spans="1:22" x14ac:dyDescent="0.35">
      <c r="A213" s="443"/>
      <c r="B213" s="423"/>
      <c r="C213" s="423"/>
      <c r="D213" s="423"/>
      <c r="E213" s="423"/>
      <c r="F213" s="423"/>
      <c r="G213" s="423"/>
      <c r="H213" s="423"/>
      <c r="I213" s="423"/>
      <c r="J213" s="423"/>
      <c r="K213" s="423"/>
      <c r="L213" s="423"/>
      <c r="M213" s="423"/>
      <c r="N213" s="423"/>
      <c r="O213" s="423"/>
      <c r="P213" s="423"/>
      <c r="Q213" s="423"/>
      <c r="R213" s="447"/>
      <c r="S213" s="423"/>
      <c r="T213" s="448"/>
      <c r="U213" s="423"/>
      <c r="V213" s="405"/>
    </row>
    <row r="214" spans="1:22" x14ac:dyDescent="0.35">
      <c r="A214" s="621"/>
      <c r="B214" s="610" t="s">
        <v>81</v>
      </c>
      <c r="C214" s="611"/>
      <c r="D214" s="611"/>
      <c r="E214" s="611"/>
      <c r="F214" s="627"/>
      <c r="G214" s="611"/>
      <c r="H214" s="611"/>
      <c r="I214" s="611"/>
      <c r="J214" s="611"/>
      <c r="K214" s="611"/>
      <c r="L214" s="611"/>
      <c r="M214" s="611"/>
      <c r="N214" s="611"/>
      <c r="O214" s="611"/>
      <c r="P214" s="611"/>
      <c r="Q214" s="611" t="s">
        <v>106</v>
      </c>
      <c r="R214" s="627" t="s">
        <v>113</v>
      </c>
      <c r="S214" s="628"/>
      <c r="T214" s="628"/>
      <c r="U214" s="614"/>
      <c r="V214" s="405"/>
    </row>
    <row r="215" spans="1:22" s="507" customFormat="1" x14ac:dyDescent="0.35">
      <c r="A215" s="622"/>
      <c r="B215" s="554" t="s">
        <v>82</v>
      </c>
      <c r="C215" s="571"/>
      <c r="D215" s="571"/>
      <c r="E215" s="571"/>
      <c r="F215" s="554"/>
      <c r="G215" s="554"/>
      <c r="H215" s="623"/>
      <c r="I215" s="623"/>
      <c r="J215" s="623"/>
      <c r="K215" s="623"/>
      <c r="L215" s="623"/>
      <c r="M215" s="623"/>
      <c r="N215" s="623"/>
      <c r="O215" s="623"/>
      <c r="P215" s="623"/>
      <c r="Q215" s="623">
        <v>0</v>
      </c>
      <c r="R215" s="624">
        <v>0</v>
      </c>
      <c r="S215" s="554"/>
      <c r="T215" s="625"/>
      <c r="U215" s="626"/>
      <c r="V215" s="506"/>
    </row>
    <row r="216" spans="1:22" s="507" customFormat="1" x14ac:dyDescent="0.35">
      <c r="A216" s="578"/>
      <c r="B216" s="521" t="s">
        <v>152</v>
      </c>
      <c r="C216" s="564"/>
      <c r="D216" s="564"/>
      <c r="E216" s="564"/>
      <c r="F216" s="521"/>
      <c r="G216" s="521"/>
      <c r="H216" s="527"/>
      <c r="I216" s="527"/>
      <c r="J216" s="527"/>
      <c r="K216" s="527"/>
      <c r="L216" s="527"/>
      <c r="M216" s="527"/>
      <c r="N216" s="527"/>
      <c r="O216" s="527"/>
      <c r="P216" s="527"/>
      <c r="Q216" s="579">
        <f>+P268</f>
        <v>62</v>
      </c>
      <c r="R216" s="580">
        <f>+R268</f>
        <v>9943</v>
      </c>
      <c r="S216" s="521"/>
      <c r="T216" s="581"/>
      <c r="U216" s="582"/>
      <c r="V216" s="506"/>
    </row>
    <row r="217" spans="1:22" s="507" customFormat="1" x14ac:dyDescent="0.35">
      <c r="A217" s="578"/>
      <c r="B217" s="521" t="s">
        <v>83</v>
      </c>
      <c r="C217" s="564"/>
      <c r="D217" s="564"/>
      <c r="E217" s="564"/>
      <c r="F217" s="521"/>
      <c r="G217" s="521"/>
      <c r="H217" s="527"/>
      <c r="I217" s="527"/>
      <c r="J217" s="527"/>
      <c r="K217" s="527"/>
      <c r="L217" s="527"/>
      <c r="M217" s="527"/>
      <c r="N217" s="527"/>
      <c r="O217" s="527"/>
      <c r="P217" s="527"/>
      <c r="Q217" s="527">
        <v>0</v>
      </c>
      <c r="R217" s="580">
        <v>0</v>
      </c>
      <c r="S217" s="521"/>
      <c r="T217" s="581"/>
      <c r="U217" s="582"/>
      <c r="V217" s="506"/>
    </row>
    <row r="218" spans="1:22" x14ac:dyDescent="0.35">
      <c r="A218" s="449"/>
      <c r="B218" s="479" t="s">
        <v>84</v>
      </c>
      <c r="C218" s="451"/>
      <c r="D218" s="451"/>
      <c r="E218" s="451"/>
      <c r="F218" s="421"/>
      <c r="G218" s="421"/>
      <c r="H218" s="421"/>
      <c r="I218" s="421"/>
      <c r="J218" s="421"/>
      <c r="K218" s="421"/>
      <c r="L218" s="421"/>
      <c r="M218" s="421"/>
      <c r="N218" s="421"/>
      <c r="O218" s="421"/>
      <c r="P218" s="421"/>
      <c r="Q218" s="417"/>
      <c r="R218" s="580">
        <v>0</v>
      </c>
      <c r="S218" s="421"/>
      <c r="T218" s="452"/>
      <c r="U218" s="453"/>
      <c r="V218" s="405"/>
    </row>
    <row r="219" spans="1:22" x14ac:dyDescent="0.35">
      <c r="A219" s="449"/>
      <c r="B219" s="479" t="s">
        <v>85</v>
      </c>
      <c r="C219" s="451"/>
      <c r="D219" s="451"/>
      <c r="E219" s="451"/>
      <c r="F219" s="421"/>
      <c r="G219" s="421"/>
      <c r="H219" s="421"/>
      <c r="I219" s="421"/>
      <c r="J219" s="421"/>
      <c r="K219" s="421"/>
      <c r="L219" s="421"/>
      <c r="M219" s="421"/>
      <c r="N219" s="421"/>
      <c r="O219" s="421"/>
      <c r="P219" s="421"/>
      <c r="Q219" s="417"/>
      <c r="R219" s="585" t="s">
        <v>114</v>
      </c>
      <c r="S219" s="421"/>
      <c r="T219" s="452"/>
      <c r="U219" s="453"/>
      <c r="V219" s="405"/>
    </row>
    <row r="220" spans="1:22" x14ac:dyDescent="0.35">
      <c r="A220" s="454"/>
      <c r="B220" s="479" t="s">
        <v>86</v>
      </c>
      <c r="C220" s="455"/>
      <c r="D220" s="455"/>
      <c r="E220" s="455"/>
      <c r="F220" s="455"/>
      <c r="G220" s="421"/>
      <c r="H220" s="421"/>
      <c r="I220" s="421"/>
      <c r="J220" s="421"/>
      <c r="K220" s="421"/>
      <c r="L220" s="421"/>
      <c r="M220" s="421"/>
      <c r="N220" s="421"/>
      <c r="O220" s="421"/>
      <c r="P220" s="421"/>
      <c r="Q220" s="417"/>
      <c r="R220" s="580"/>
      <c r="S220" s="421"/>
      <c r="T220" s="452"/>
      <c r="U220" s="456"/>
      <c r="V220" s="405"/>
    </row>
    <row r="221" spans="1:22" s="507" customFormat="1" x14ac:dyDescent="0.35">
      <c r="A221" s="583"/>
      <c r="B221" s="521" t="s">
        <v>87</v>
      </c>
      <c r="C221" s="521"/>
      <c r="D221" s="521"/>
      <c r="E221" s="521"/>
      <c r="F221" s="521"/>
      <c r="G221" s="521"/>
      <c r="H221" s="521"/>
      <c r="I221" s="521"/>
      <c r="J221" s="521"/>
      <c r="K221" s="521"/>
      <c r="L221" s="521"/>
      <c r="M221" s="521"/>
      <c r="N221" s="521"/>
      <c r="O221" s="521"/>
      <c r="P221" s="521"/>
      <c r="Q221" s="527"/>
      <c r="R221" s="580">
        <f>+T165</f>
        <v>60</v>
      </c>
      <c r="S221" s="521"/>
      <c r="T221" s="581"/>
      <c r="U221" s="584"/>
      <c r="V221" s="506"/>
    </row>
    <row r="222" spans="1:22" s="507" customFormat="1" x14ac:dyDescent="0.35">
      <c r="A222" s="578"/>
      <c r="B222" s="521" t="s">
        <v>88</v>
      </c>
      <c r="C222" s="564"/>
      <c r="D222" s="564"/>
      <c r="E222" s="564"/>
      <c r="F222" s="564"/>
      <c r="G222" s="521"/>
      <c r="H222" s="521"/>
      <c r="I222" s="521"/>
      <c r="J222" s="521"/>
      <c r="K222" s="521"/>
      <c r="L222" s="521"/>
      <c r="M222" s="521"/>
      <c r="N222" s="521"/>
      <c r="O222" s="521"/>
      <c r="P222" s="521"/>
      <c r="Q222" s="580"/>
      <c r="R222" s="580">
        <f>'Feb 19'!R222+R221</f>
        <v>7275</v>
      </c>
      <c r="S222" s="521"/>
      <c r="T222" s="581"/>
      <c r="U222" s="584"/>
      <c r="V222" s="506"/>
    </row>
    <row r="223" spans="1:22" x14ac:dyDescent="0.35">
      <c r="A223" s="454"/>
      <c r="B223" s="479" t="s">
        <v>295</v>
      </c>
      <c r="C223" s="455"/>
      <c r="D223" s="455"/>
      <c r="E223" s="455"/>
      <c r="F223" s="455"/>
      <c r="G223" s="421"/>
      <c r="H223" s="421"/>
      <c r="I223" s="421"/>
      <c r="J223" s="421"/>
      <c r="K223" s="421"/>
      <c r="L223" s="421"/>
      <c r="M223" s="421"/>
      <c r="N223" s="421"/>
      <c r="O223" s="421"/>
      <c r="P223" s="421"/>
      <c r="Q223" s="419"/>
      <c r="R223" s="450"/>
      <c r="S223" s="421"/>
      <c r="T223" s="452"/>
      <c r="U223" s="456"/>
      <c r="V223" s="405"/>
    </row>
    <row r="224" spans="1:22" s="507" customFormat="1" x14ac:dyDescent="0.35">
      <c r="A224" s="583"/>
      <c r="B224" s="521" t="s">
        <v>292</v>
      </c>
      <c r="C224" s="521"/>
      <c r="D224" s="521"/>
      <c r="E224" s="521"/>
      <c r="F224" s="521"/>
      <c r="G224" s="521"/>
      <c r="H224" s="521"/>
      <c r="I224" s="521"/>
      <c r="J224" s="521"/>
      <c r="K224" s="521"/>
      <c r="L224" s="521"/>
      <c r="M224" s="521"/>
      <c r="N224" s="521"/>
      <c r="O224" s="521"/>
      <c r="P224" s="521"/>
      <c r="Q224" s="527">
        <v>0</v>
      </c>
      <c r="R224" s="580">
        <v>0</v>
      </c>
      <c r="S224" s="521"/>
      <c r="T224" s="581"/>
      <c r="U224" s="584"/>
      <c r="V224" s="506"/>
    </row>
    <row r="225" spans="1:23" s="507" customFormat="1" x14ac:dyDescent="0.35">
      <c r="A225" s="578"/>
      <c r="B225" s="521" t="s">
        <v>90</v>
      </c>
      <c r="C225" s="543"/>
      <c r="D225" s="543"/>
      <c r="E225" s="543"/>
      <c r="F225" s="586"/>
      <c r="G225" s="521"/>
      <c r="H225" s="521"/>
      <c r="I225" s="521"/>
      <c r="J225" s="521"/>
      <c r="K225" s="521"/>
      <c r="L225" s="521"/>
      <c r="M225" s="521"/>
      <c r="N225" s="521"/>
      <c r="O225" s="521"/>
      <c r="P225" s="521"/>
      <c r="Q225" s="521"/>
      <c r="R225" s="585">
        <v>0</v>
      </c>
      <c r="S225" s="521"/>
      <c r="T225" s="581"/>
      <c r="U225" s="584"/>
      <c r="V225" s="506"/>
    </row>
    <row r="226" spans="1:23" s="507" customFormat="1" x14ac:dyDescent="0.35">
      <c r="A226" s="578"/>
      <c r="B226" s="521" t="s">
        <v>91</v>
      </c>
      <c r="C226" s="543"/>
      <c r="D226" s="543"/>
      <c r="E226" s="543"/>
      <c r="F226" s="586"/>
      <c r="G226" s="521"/>
      <c r="H226" s="521"/>
      <c r="I226" s="521"/>
      <c r="J226" s="521"/>
      <c r="K226" s="521"/>
      <c r="L226" s="521"/>
      <c r="M226" s="521"/>
      <c r="N226" s="521"/>
      <c r="O226" s="521"/>
      <c r="P226" s="521"/>
      <c r="Q226" s="521"/>
      <c r="R226" s="585">
        <v>0</v>
      </c>
      <c r="S226" s="521"/>
      <c r="T226" s="581"/>
      <c r="U226" s="584"/>
      <c r="V226" s="506"/>
    </row>
    <row r="227" spans="1:23" x14ac:dyDescent="0.35">
      <c r="A227" s="449"/>
      <c r="B227" s="479" t="s">
        <v>260</v>
      </c>
      <c r="C227" s="457"/>
      <c r="D227" s="457"/>
      <c r="E227" s="457"/>
      <c r="F227" s="458"/>
      <c r="G227" s="421"/>
      <c r="H227" s="421"/>
      <c r="I227" s="421"/>
      <c r="J227" s="421"/>
      <c r="K227" s="421"/>
      <c r="L227" s="421"/>
      <c r="M227" s="421"/>
      <c r="N227" s="421"/>
      <c r="O227" s="421"/>
      <c r="P227" s="421"/>
      <c r="Q227" s="417"/>
      <c r="R227" s="459"/>
      <c r="S227" s="421"/>
      <c r="T227" s="452"/>
      <c r="U227" s="456"/>
      <c r="V227" s="405"/>
    </row>
    <row r="228" spans="1:23" s="507" customFormat="1" x14ac:dyDescent="0.35">
      <c r="A228" s="578"/>
      <c r="B228" s="521" t="s">
        <v>292</v>
      </c>
      <c r="C228" s="543"/>
      <c r="D228" s="543"/>
      <c r="E228" s="543"/>
      <c r="F228" s="586"/>
      <c r="G228" s="521"/>
      <c r="H228" s="521"/>
      <c r="I228" s="521"/>
      <c r="J228" s="521"/>
      <c r="K228" s="521"/>
      <c r="L228" s="521"/>
      <c r="M228" s="521"/>
      <c r="N228" s="521"/>
      <c r="O228" s="521"/>
      <c r="P228" s="521"/>
      <c r="Q228" s="527">
        <v>2</v>
      </c>
      <c r="R228" s="580">
        <v>170</v>
      </c>
      <c r="S228" s="521"/>
      <c r="T228" s="581"/>
      <c r="U228" s="584"/>
      <c r="V228" s="506"/>
    </row>
    <row r="229" spans="1:23" s="507" customFormat="1" x14ac:dyDescent="0.35">
      <c r="A229" s="578"/>
      <c r="B229" s="521" t="s">
        <v>261</v>
      </c>
      <c r="C229" s="543"/>
      <c r="D229" s="543"/>
      <c r="E229" s="543"/>
      <c r="F229" s="586"/>
      <c r="G229" s="521"/>
      <c r="H229" s="521"/>
      <c r="I229" s="521"/>
      <c r="J229" s="521"/>
      <c r="K229" s="521"/>
      <c r="L229" s="521"/>
      <c r="M229" s="521"/>
      <c r="N229" s="521"/>
      <c r="O229" s="521"/>
      <c r="P229" s="521"/>
      <c r="Q229" s="521"/>
      <c r="R229" s="585">
        <v>4.6900000000000004</v>
      </c>
      <c r="S229" s="521"/>
      <c r="T229" s="581"/>
      <c r="U229" s="584"/>
      <c r="V229" s="506"/>
    </row>
    <row r="230" spans="1:23" x14ac:dyDescent="0.35">
      <c r="A230" s="449"/>
      <c r="B230" s="455"/>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x14ac:dyDescent="0.35">
      <c r="A231" s="449"/>
      <c r="B231" s="455"/>
      <c r="C231" s="457"/>
      <c r="D231" s="457"/>
      <c r="E231" s="457"/>
      <c r="F231" s="458"/>
      <c r="G231" s="421"/>
      <c r="H231" s="421"/>
      <c r="I231" s="421"/>
      <c r="J231" s="421"/>
      <c r="K231" s="421"/>
      <c r="L231" s="421"/>
      <c r="M231" s="421"/>
      <c r="N231" s="421"/>
      <c r="O231" s="421"/>
      <c r="P231" s="421"/>
      <c r="Q231" s="421"/>
      <c r="R231" s="460"/>
      <c r="S231" s="421"/>
      <c r="T231" s="452"/>
      <c r="U231" s="456"/>
      <c r="V231" s="405"/>
    </row>
    <row r="232" spans="1:23" ht="18.5" x14ac:dyDescent="0.45">
      <c r="A232" s="449"/>
      <c r="B232" s="478" t="s">
        <v>178</v>
      </c>
      <c r="C232" s="457"/>
      <c r="D232" s="457"/>
      <c r="E232" s="457"/>
      <c r="F232" s="458"/>
      <c r="G232" s="421"/>
      <c r="H232" s="421"/>
      <c r="I232" s="421"/>
      <c r="J232" s="421"/>
      <c r="K232" s="421"/>
      <c r="L232" s="421"/>
      <c r="M232" s="421"/>
      <c r="N232" s="475" t="s">
        <v>361</v>
      </c>
      <c r="O232" s="421"/>
      <c r="P232" s="421"/>
      <c r="Q232" s="421"/>
      <c r="R232" s="460"/>
      <c r="S232" s="421"/>
      <c r="T232" s="452"/>
      <c r="U232" s="456"/>
      <c r="V232" s="405"/>
    </row>
    <row r="233" spans="1:23" x14ac:dyDescent="0.35">
      <c r="A233" s="461"/>
      <c r="B233" s="462"/>
      <c r="C233" s="463"/>
      <c r="D233" s="463"/>
      <c r="E233" s="463"/>
      <c r="F233" s="464"/>
      <c r="G233" s="427"/>
      <c r="H233" s="427"/>
      <c r="I233" s="427"/>
      <c r="J233" s="427"/>
      <c r="K233" s="427"/>
      <c r="L233" s="427"/>
      <c r="M233" s="427"/>
      <c r="N233" s="427"/>
      <c r="O233" s="427"/>
      <c r="P233" s="427"/>
      <c r="Q233" s="427"/>
      <c r="R233" s="465"/>
      <c r="S233" s="427"/>
      <c r="T233" s="466"/>
      <c r="U233" s="467"/>
      <c r="V233" s="405"/>
    </row>
    <row r="234" spans="1:23" x14ac:dyDescent="0.35">
      <c r="A234" s="599"/>
      <c r="B234" s="610" t="s">
        <v>307</v>
      </c>
      <c r="C234" s="611"/>
      <c r="D234" s="611"/>
      <c r="E234" s="611"/>
      <c r="F234" s="627"/>
      <c r="G234" s="611"/>
      <c r="H234" s="611"/>
      <c r="I234" s="611"/>
      <c r="J234" s="611"/>
      <c r="K234" s="611"/>
      <c r="L234" s="611"/>
      <c r="M234" s="611"/>
      <c r="N234" s="611"/>
      <c r="O234" s="611"/>
      <c r="P234" s="627" t="s">
        <v>106</v>
      </c>
      <c r="Q234" s="611" t="s">
        <v>107</v>
      </c>
      <c r="R234" s="627" t="s">
        <v>115</v>
      </c>
      <c r="S234" s="611" t="s">
        <v>107</v>
      </c>
      <c r="T234" s="628"/>
      <c r="U234" s="631"/>
      <c r="V234" s="405"/>
    </row>
    <row r="235" spans="1:23" s="507" customFormat="1" x14ac:dyDescent="0.35">
      <c r="A235" s="508"/>
      <c r="B235" s="571" t="s">
        <v>92</v>
      </c>
      <c r="C235" s="629"/>
      <c r="D235" s="629"/>
      <c r="E235" s="629"/>
      <c r="F235" s="554"/>
      <c r="G235" s="629"/>
      <c r="H235" s="629"/>
      <c r="I235" s="629"/>
      <c r="J235" s="629"/>
      <c r="K235" s="629"/>
      <c r="L235" s="629"/>
      <c r="M235" s="629"/>
      <c r="N235" s="629"/>
      <c r="O235" s="629"/>
      <c r="P235" s="571">
        <f t="shared" ref="P235:P242" si="1">+P247+P259+P271</f>
        <v>2462</v>
      </c>
      <c r="Q235" s="589">
        <f t="shared" ref="Q235:Q242" si="2">P235/$P$244</f>
        <v>0.99074446680080486</v>
      </c>
      <c r="R235" s="594">
        <f t="shared" ref="R235:R242" si="3">+R247+R259+R271</f>
        <v>324806</v>
      </c>
      <c r="S235" s="589">
        <f t="shared" ref="S235:S242" si="4">R235/$R$244</f>
        <v>0.98732430329264143</v>
      </c>
      <c r="T235" s="625"/>
      <c r="U235" s="630"/>
      <c r="V235" s="506"/>
    </row>
    <row r="236" spans="1:23" s="507" customFormat="1" x14ac:dyDescent="0.35">
      <c r="A236" s="520"/>
      <c r="B236" s="564" t="s">
        <v>93</v>
      </c>
      <c r="C236" s="588"/>
      <c r="D236" s="588"/>
      <c r="E236" s="588"/>
      <c r="F236" s="521"/>
      <c r="G236" s="587"/>
      <c r="H236" s="588"/>
      <c r="I236" s="588"/>
      <c r="J236" s="588"/>
      <c r="K236" s="588"/>
      <c r="L236" s="588"/>
      <c r="M236" s="588"/>
      <c r="N236" s="588"/>
      <c r="O236" s="588"/>
      <c r="P236" s="564">
        <f t="shared" si="1"/>
        <v>16</v>
      </c>
      <c r="Q236" s="587">
        <f t="shared" si="2"/>
        <v>6.4386317907444666E-3</v>
      </c>
      <c r="R236" s="565">
        <f t="shared" si="3"/>
        <v>2854</v>
      </c>
      <c r="S236" s="587">
        <f t="shared" si="4"/>
        <v>8.6754048927581342E-3</v>
      </c>
      <c r="T236" s="581"/>
      <c r="U236" s="584"/>
      <c r="V236" s="506"/>
      <c r="W236" s="570"/>
    </row>
    <row r="237" spans="1:23" s="507" customFormat="1" x14ac:dyDescent="0.35">
      <c r="A237" s="520"/>
      <c r="B237" s="564" t="s">
        <v>94</v>
      </c>
      <c r="C237" s="588"/>
      <c r="D237" s="588"/>
      <c r="E237" s="588"/>
      <c r="F237" s="521"/>
      <c r="G237" s="587"/>
      <c r="H237" s="588"/>
      <c r="I237" s="588"/>
      <c r="J237" s="588"/>
      <c r="K237" s="588"/>
      <c r="L237" s="588"/>
      <c r="M237" s="588"/>
      <c r="N237" s="588"/>
      <c r="O237" s="588"/>
      <c r="P237" s="564">
        <f t="shared" si="1"/>
        <v>0</v>
      </c>
      <c r="Q237" s="587">
        <f t="shared" si="2"/>
        <v>0</v>
      </c>
      <c r="R237" s="565">
        <f t="shared" si="3"/>
        <v>0</v>
      </c>
      <c r="S237" s="587">
        <f t="shared" si="4"/>
        <v>0</v>
      </c>
      <c r="T237" s="581"/>
      <c r="U237" s="584"/>
      <c r="V237" s="506"/>
    </row>
    <row r="238" spans="1:23" s="507" customFormat="1" x14ac:dyDescent="0.35">
      <c r="A238" s="520"/>
      <c r="B238" s="564" t="s">
        <v>164</v>
      </c>
      <c r="C238" s="588"/>
      <c r="D238" s="588"/>
      <c r="E238" s="588"/>
      <c r="F238" s="521"/>
      <c r="G238" s="587"/>
      <c r="H238" s="588"/>
      <c r="I238" s="588"/>
      <c r="J238" s="588"/>
      <c r="K238" s="588"/>
      <c r="L238" s="588"/>
      <c r="M238" s="588"/>
      <c r="N238" s="588"/>
      <c r="O238" s="588"/>
      <c r="P238" s="564">
        <f t="shared" si="1"/>
        <v>2</v>
      </c>
      <c r="Q238" s="587">
        <f t="shared" si="2"/>
        <v>8.0482897384305833E-4</v>
      </c>
      <c r="R238" s="565">
        <f t="shared" si="3"/>
        <v>173</v>
      </c>
      <c r="S238" s="587">
        <f t="shared" si="4"/>
        <v>5.2587422790720294E-4</v>
      </c>
      <c r="T238" s="581"/>
      <c r="U238" s="584"/>
      <c r="V238" s="506"/>
      <c r="W238" s="570"/>
    </row>
    <row r="239" spans="1:23" s="507" customFormat="1" x14ac:dyDescent="0.35">
      <c r="A239" s="520"/>
      <c r="B239" s="564" t="s">
        <v>165</v>
      </c>
      <c r="C239" s="588"/>
      <c r="D239" s="588"/>
      <c r="E239" s="588"/>
      <c r="F239" s="521"/>
      <c r="G239" s="587"/>
      <c r="H239" s="588"/>
      <c r="I239" s="588"/>
      <c r="J239" s="588"/>
      <c r="K239" s="588"/>
      <c r="L239" s="588"/>
      <c r="M239" s="588"/>
      <c r="N239" s="588"/>
      <c r="O239" s="588"/>
      <c r="P239" s="564">
        <f t="shared" si="1"/>
        <v>0</v>
      </c>
      <c r="Q239" s="587">
        <f t="shared" si="2"/>
        <v>0</v>
      </c>
      <c r="R239" s="565">
        <f t="shared" si="3"/>
        <v>0</v>
      </c>
      <c r="S239" s="587">
        <f t="shared" si="4"/>
        <v>0</v>
      </c>
      <c r="T239" s="581"/>
      <c r="U239" s="584"/>
      <c r="V239" s="506"/>
    </row>
    <row r="240" spans="1:23" s="507" customFormat="1" x14ac:dyDescent="0.35">
      <c r="A240" s="520"/>
      <c r="B240" s="564" t="s">
        <v>166</v>
      </c>
      <c r="C240" s="588"/>
      <c r="D240" s="588"/>
      <c r="E240" s="588"/>
      <c r="F240" s="521"/>
      <c r="G240" s="587"/>
      <c r="H240" s="588"/>
      <c r="I240" s="588"/>
      <c r="J240" s="588"/>
      <c r="K240" s="588"/>
      <c r="L240" s="588"/>
      <c r="M240" s="588"/>
      <c r="N240" s="588"/>
      <c r="O240" s="588"/>
      <c r="P240" s="564">
        <f t="shared" si="1"/>
        <v>0</v>
      </c>
      <c r="Q240" s="587">
        <f t="shared" si="2"/>
        <v>0</v>
      </c>
      <c r="R240" s="565">
        <f t="shared" si="3"/>
        <v>0</v>
      </c>
      <c r="S240" s="587">
        <f t="shared" si="4"/>
        <v>0</v>
      </c>
      <c r="T240" s="581"/>
      <c r="U240" s="584"/>
      <c r="V240" s="506"/>
      <c r="W240" s="570"/>
    </row>
    <row r="241" spans="1:23" s="507" customFormat="1" x14ac:dyDescent="0.35">
      <c r="A241" s="520"/>
      <c r="B241" s="564" t="s">
        <v>167</v>
      </c>
      <c r="C241" s="588"/>
      <c r="D241" s="588"/>
      <c r="E241" s="588"/>
      <c r="F241" s="521"/>
      <c r="G241" s="587"/>
      <c r="H241" s="588"/>
      <c r="I241" s="588"/>
      <c r="J241" s="588"/>
      <c r="K241" s="588"/>
      <c r="L241" s="588"/>
      <c r="M241" s="588"/>
      <c r="N241" s="588"/>
      <c r="O241" s="588"/>
      <c r="P241" s="564">
        <f t="shared" si="1"/>
        <v>3</v>
      </c>
      <c r="Q241" s="587">
        <f t="shared" si="2"/>
        <v>1.2072434607645875E-3</v>
      </c>
      <c r="R241" s="565">
        <f t="shared" si="3"/>
        <v>976</v>
      </c>
      <c r="S241" s="587">
        <f t="shared" si="4"/>
        <v>2.9667817713146249E-3</v>
      </c>
      <c r="T241" s="581"/>
      <c r="U241" s="584"/>
      <c r="V241" s="506"/>
    </row>
    <row r="242" spans="1:23" s="507" customFormat="1" x14ac:dyDescent="0.35">
      <c r="A242" s="520"/>
      <c r="B242" s="564" t="s">
        <v>168</v>
      </c>
      <c r="C242" s="588"/>
      <c r="D242" s="588"/>
      <c r="E242" s="588"/>
      <c r="F242" s="521"/>
      <c r="G242" s="587"/>
      <c r="H242" s="588"/>
      <c r="I242" s="588"/>
      <c r="J242" s="588"/>
      <c r="K242" s="588"/>
      <c r="L242" s="588"/>
      <c r="M242" s="588"/>
      <c r="N242" s="588"/>
      <c r="O242" s="588"/>
      <c r="P242" s="564">
        <f t="shared" si="1"/>
        <v>2</v>
      </c>
      <c r="Q242" s="587">
        <f t="shared" si="2"/>
        <v>8.0482897384305833E-4</v>
      </c>
      <c r="R242" s="565">
        <f t="shared" si="3"/>
        <v>167</v>
      </c>
      <c r="S242" s="589">
        <f t="shared" si="4"/>
        <v>5.076358153786294E-4</v>
      </c>
      <c r="T242" s="581"/>
      <c r="U242" s="584"/>
      <c r="V242" s="506"/>
      <c r="W242" s="570"/>
    </row>
    <row r="243" spans="1:23" s="507" customFormat="1" x14ac:dyDescent="0.35">
      <c r="A243" s="520"/>
      <c r="B243" s="564"/>
      <c r="C243" s="588"/>
      <c r="D243" s="588"/>
      <c r="E243" s="588"/>
      <c r="F243" s="521"/>
      <c r="G243" s="587"/>
      <c r="H243" s="588"/>
      <c r="I243" s="588"/>
      <c r="J243" s="588"/>
      <c r="K243" s="588"/>
      <c r="L243" s="588"/>
      <c r="M243" s="588"/>
      <c r="N243" s="588"/>
      <c r="O243" s="588"/>
      <c r="P243" s="564"/>
      <c r="Q243" s="587"/>
      <c r="R243" s="565"/>
      <c r="S243" s="587"/>
      <c r="T243" s="581"/>
      <c r="U243" s="584"/>
      <c r="V243" s="506"/>
    </row>
    <row r="244" spans="1:23" s="507" customFormat="1" x14ac:dyDescent="0.35">
      <c r="A244" s="520"/>
      <c r="B244" s="521"/>
      <c r="C244" s="521"/>
      <c r="D244" s="521"/>
      <c r="E244" s="521"/>
      <c r="F244" s="521"/>
      <c r="G244" s="521"/>
      <c r="H244" s="590"/>
      <c r="I244" s="590"/>
      <c r="J244" s="590"/>
      <c r="K244" s="590"/>
      <c r="L244" s="590"/>
      <c r="M244" s="590"/>
      <c r="N244" s="590"/>
      <c r="O244" s="590"/>
      <c r="P244" s="564">
        <f>SUM(P235:P243)</f>
        <v>2485</v>
      </c>
      <c r="Q244" s="587">
        <f>SUM(Q235:Q243)</f>
        <v>1</v>
      </c>
      <c r="R244" s="565">
        <f>SUM(R235:R243)</f>
        <v>328976</v>
      </c>
      <c r="S244" s="587">
        <f>SUM(S235:S243)</f>
        <v>0.99999999999999989</v>
      </c>
      <c r="T244" s="521"/>
      <c r="U244" s="523"/>
      <c r="V244" s="506"/>
    </row>
    <row r="245" spans="1:23" x14ac:dyDescent="0.35">
      <c r="A245" s="407"/>
      <c r="B245" s="423"/>
      <c r="C245" s="423"/>
      <c r="D245" s="423"/>
      <c r="E245" s="423"/>
      <c r="F245" s="423"/>
      <c r="G245" s="423"/>
      <c r="H245" s="468"/>
      <c r="I245" s="468"/>
      <c r="J245" s="468"/>
      <c r="K245" s="468"/>
      <c r="L245" s="468"/>
      <c r="M245" s="468"/>
      <c r="N245" s="468"/>
      <c r="O245" s="468"/>
      <c r="P245" s="435"/>
      <c r="Q245" s="469"/>
      <c r="R245" s="470"/>
      <c r="S245" s="469"/>
      <c r="T245" s="423"/>
      <c r="U245" s="423"/>
      <c r="V245" s="405"/>
    </row>
    <row r="246" spans="1:23" x14ac:dyDescent="0.35">
      <c r="A246" s="599"/>
      <c r="B246" s="610" t="s">
        <v>171</v>
      </c>
      <c r="C246" s="611"/>
      <c r="D246" s="611"/>
      <c r="E246" s="611"/>
      <c r="F246" s="627"/>
      <c r="G246" s="611"/>
      <c r="H246" s="611"/>
      <c r="I246" s="611"/>
      <c r="J246" s="611"/>
      <c r="K246" s="611"/>
      <c r="L246" s="611"/>
      <c r="M246" s="611"/>
      <c r="N246" s="611"/>
      <c r="O246" s="611"/>
      <c r="P246" s="627" t="s">
        <v>106</v>
      </c>
      <c r="Q246" s="611" t="s">
        <v>107</v>
      </c>
      <c r="R246" s="627" t="s">
        <v>115</v>
      </c>
      <c r="S246" s="611" t="s">
        <v>107</v>
      </c>
      <c r="T246" s="628"/>
      <c r="U246" s="631"/>
      <c r="V246" s="405"/>
    </row>
    <row r="247" spans="1:23" s="507" customFormat="1" x14ac:dyDescent="0.35">
      <c r="A247" s="508"/>
      <c r="B247" s="571" t="s">
        <v>92</v>
      </c>
      <c r="C247" s="629"/>
      <c r="D247" s="629"/>
      <c r="E247" s="629"/>
      <c r="F247" s="554"/>
      <c r="G247" s="629"/>
      <c r="H247" s="629"/>
      <c r="I247" s="629"/>
      <c r="J247" s="629"/>
      <c r="K247" s="629"/>
      <c r="L247" s="629"/>
      <c r="M247" s="629"/>
      <c r="N247" s="629"/>
      <c r="O247" s="629"/>
      <c r="P247" s="571">
        <v>2408</v>
      </c>
      <c r="Q247" s="632">
        <f t="shared" ref="Q247:Q254" si="5">P247/$P$256</f>
        <v>0.99380932728023108</v>
      </c>
      <c r="R247" s="594">
        <v>316275</v>
      </c>
      <c r="S247" s="632">
        <f t="shared" ref="S247:S254" si="6">R247/$R$256</f>
        <v>0.99135512627220379</v>
      </c>
      <c r="T247" s="625"/>
      <c r="U247" s="630"/>
      <c r="V247" s="506"/>
    </row>
    <row r="248" spans="1:23" s="507" customFormat="1" x14ac:dyDescent="0.35">
      <c r="A248" s="520"/>
      <c r="B248" s="564" t="s">
        <v>93</v>
      </c>
      <c r="C248" s="588"/>
      <c r="D248" s="588"/>
      <c r="E248" s="588"/>
      <c r="F248" s="521"/>
      <c r="G248" s="587"/>
      <c r="H248" s="588"/>
      <c r="I248" s="588"/>
      <c r="J248" s="588"/>
      <c r="K248" s="588"/>
      <c r="L248" s="588"/>
      <c r="M248" s="588"/>
      <c r="N248" s="588"/>
      <c r="O248" s="588"/>
      <c r="P248" s="564">
        <v>15</v>
      </c>
      <c r="Q248" s="587">
        <f t="shared" si="5"/>
        <v>6.1906727197688811E-3</v>
      </c>
      <c r="R248" s="565">
        <v>2758</v>
      </c>
      <c r="S248" s="587">
        <f t="shared" si="6"/>
        <v>8.6448737277961835E-3</v>
      </c>
      <c r="T248" s="581"/>
      <c r="U248" s="584"/>
      <c r="V248" s="506"/>
      <c r="W248" s="570"/>
    </row>
    <row r="249" spans="1:23" s="507" customFormat="1" x14ac:dyDescent="0.35">
      <c r="A249" s="520"/>
      <c r="B249" s="564" t="s">
        <v>94</v>
      </c>
      <c r="C249" s="588"/>
      <c r="D249" s="588"/>
      <c r="E249" s="588"/>
      <c r="F249" s="521"/>
      <c r="G249" s="587"/>
      <c r="H249" s="588"/>
      <c r="I249" s="588"/>
      <c r="J249" s="588"/>
      <c r="K249" s="588"/>
      <c r="L249" s="588"/>
      <c r="M249" s="588"/>
      <c r="N249" s="588"/>
      <c r="O249" s="588"/>
      <c r="P249" s="564">
        <v>0</v>
      </c>
      <c r="Q249" s="587">
        <f t="shared" si="5"/>
        <v>0</v>
      </c>
      <c r="R249" s="565">
        <v>0</v>
      </c>
      <c r="S249" s="587">
        <f t="shared" si="6"/>
        <v>0</v>
      </c>
      <c r="T249" s="581"/>
      <c r="U249" s="584"/>
      <c r="V249" s="506"/>
    </row>
    <row r="250" spans="1:23" s="507" customFormat="1" x14ac:dyDescent="0.35">
      <c r="A250" s="520"/>
      <c r="B250" s="564" t="s">
        <v>164</v>
      </c>
      <c r="C250" s="588"/>
      <c r="D250" s="588"/>
      <c r="E250" s="588"/>
      <c r="F250" s="521"/>
      <c r="G250" s="587"/>
      <c r="H250" s="588"/>
      <c r="I250" s="588"/>
      <c r="J250" s="588"/>
      <c r="K250" s="588"/>
      <c r="L250" s="588"/>
      <c r="M250" s="588"/>
      <c r="N250" s="588"/>
      <c r="O250" s="588"/>
      <c r="P250" s="564">
        <v>0</v>
      </c>
      <c r="Q250" s="587">
        <f t="shared" si="5"/>
        <v>0</v>
      </c>
      <c r="R250" s="565">
        <v>0</v>
      </c>
      <c r="S250" s="587">
        <f t="shared" si="6"/>
        <v>0</v>
      </c>
      <c r="T250" s="581"/>
      <c r="U250" s="584"/>
      <c r="V250" s="506"/>
      <c r="W250" s="570"/>
    </row>
    <row r="251" spans="1:23" s="507" customFormat="1" x14ac:dyDescent="0.35">
      <c r="A251" s="520"/>
      <c r="B251" s="564" t="s">
        <v>165</v>
      </c>
      <c r="C251" s="588"/>
      <c r="D251" s="588"/>
      <c r="E251" s="588"/>
      <c r="F251" s="521"/>
      <c r="G251" s="587"/>
      <c r="H251" s="588"/>
      <c r="I251" s="588"/>
      <c r="J251" s="588"/>
      <c r="K251" s="588"/>
      <c r="L251" s="588"/>
      <c r="M251" s="588"/>
      <c r="N251" s="588"/>
      <c r="O251" s="588"/>
      <c r="P251" s="564">
        <v>0</v>
      </c>
      <c r="Q251" s="587">
        <f t="shared" si="5"/>
        <v>0</v>
      </c>
      <c r="R251" s="565">
        <v>0</v>
      </c>
      <c r="S251" s="587">
        <f t="shared" si="6"/>
        <v>0</v>
      </c>
      <c r="T251" s="581"/>
      <c r="U251" s="584"/>
      <c r="V251" s="506"/>
    </row>
    <row r="252" spans="1:23" s="507" customFormat="1" x14ac:dyDescent="0.35">
      <c r="A252" s="520"/>
      <c r="B252" s="564" t="s">
        <v>166</v>
      </c>
      <c r="C252" s="588"/>
      <c r="D252" s="588"/>
      <c r="E252" s="588"/>
      <c r="F252" s="521"/>
      <c r="G252" s="587"/>
      <c r="H252" s="588"/>
      <c r="I252" s="588"/>
      <c r="J252" s="588"/>
      <c r="K252" s="588"/>
      <c r="L252" s="588"/>
      <c r="M252" s="588"/>
      <c r="N252" s="588"/>
      <c r="O252" s="588"/>
      <c r="P252" s="564">
        <v>0</v>
      </c>
      <c r="Q252" s="587">
        <f t="shared" si="5"/>
        <v>0</v>
      </c>
      <c r="R252" s="565">
        <v>0</v>
      </c>
      <c r="S252" s="587">
        <f t="shared" si="6"/>
        <v>0</v>
      </c>
      <c r="T252" s="581"/>
      <c r="U252" s="584"/>
      <c r="V252" s="506"/>
      <c r="W252" s="570"/>
    </row>
    <row r="253" spans="1:23" s="507" customFormat="1" x14ac:dyDescent="0.35">
      <c r="A253" s="520"/>
      <c r="B253" s="564" t="s">
        <v>167</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row>
    <row r="254" spans="1:23" s="507" customFormat="1" x14ac:dyDescent="0.35">
      <c r="A254" s="520"/>
      <c r="B254" s="564" t="s">
        <v>168</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c r="W254" s="570"/>
    </row>
    <row r="255" spans="1:23" s="507" customFormat="1" x14ac:dyDescent="0.35">
      <c r="A255" s="520"/>
      <c r="B255" s="564"/>
      <c r="C255" s="588"/>
      <c r="D255" s="588"/>
      <c r="E255" s="588"/>
      <c r="F255" s="521"/>
      <c r="G255" s="587"/>
      <c r="H255" s="588"/>
      <c r="I255" s="588"/>
      <c r="J255" s="588"/>
      <c r="K255" s="588"/>
      <c r="L255" s="588"/>
      <c r="M255" s="588"/>
      <c r="N255" s="588"/>
      <c r="O255" s="588"/>
      <c r="P255" s="564"/>
      <c r="Q255" s="587"/>
      <c r="R255" s="565"/>
      <c r="S255" s="587"/>
      <c r="T255" s="581"/>
      <c r="U255" s="584"/>
      <c r="V255" s="506"/>
    </row>
    <row r="256" spans="1:23" s="507" customFormat="1" x14ac:dyDescent="0.35">
      <c r="A256" s="520"/>
      <c r="B256" s="521"/>
      <c r="C256" s="521"/>
      <c r="D256" s="521"/>
      <c r="E256" s="521"/>
      <c r="F256" s="521"/>
      <c r="G256" s="521"/>
      <c r="H256" s="590"/>
      <c r="I256" s="590"/>
      <c r="J256" s="590"/>
      <c r="K256" s="590"/>
      <c r="L256" s="590"/>
      <c r="M256" s="590"/>
      <c r="N256" s="590"/>
      <c r="O256" s="590"/>
      <c r="P256" s="564">
        <f>SUM(P247:P255)</f>
        <v>2423</v>
      </c>
      <c r="Q256" s="587">
        <f>SUM(Q247:Q255)</f>
        <v>1</v>
      </c>
      <c r="R256" s="565">
        <f>SUM(R247:R255)</f>
        <v>319033</v>
      </c>
      <c r="S256" s="587">
        <f>SUM(S247:S255)</f>
        <v>1</v>
      </c>
      <c r="T256" s="521"/>
      <c r="U256" s="523"/>
      <c r="V256" s="506"/>
    </row>
    <row r="257" spans="1:22" x14ac:dyDescent="0.35">
      <c r="A257" s="407"/>
      <c r="B257" s="423"/>
      <c r="C257" s="423"/>
      <c r="D257" s="423"/>
      <c r="E257" s="423"/>
      <c r="F257" s="423"/>
      <c r="G257" s="423"/>
      <c r="H257" s="468"/>
      <c r="I257" s="468"/>
      <c r="J257" s="468"/>
      <c r="K257" s="468"/>
      <c r="L257" s="468"/>
      <c r="M257" s="468"/>
      <c r="N257" s="468"/>
      <c r="O257" s="468"/>
      <c r="P257" s="435"/>
      <c r="Q257" s="469"/>
      <c r="R257" s="470"/>
      <c r="S257" s="469"/>
      <c r="T257" s="423"/>
      <c r="U257" s="423"/>
      <c r="V257" s="405"/>
    </row>
    <row r="258" spans="1:22" x14ac:dyDescent="0.35">
      <c r="A258" s="599"/>
      <c r="B258" s="610" t="s">
        <v>275</v>
      </c>
      <c r="C258" s="611"/>
      <c r="D258" s="611"/>
      <c r="E258" s="611"/>
      <c r="F258" s="627"/>
      <c r="G258" s="611"/>
      <c r="H258" s="611"/>
      <c r="I258" s="611"/>
      <c r="J258" s="611"/>
      <c r="K258" s="611"/>
      <c r="L258" s="611"/>
      <c r="M258" s="611"/>
      <c r="N258" s="611"/>
      <c r="O258" s="611"/>
      <c r="P258" s="627" t="s">
        <v>106</v>
      </c>
      <c r="Q258" s="611" t="s">
        <v>107</v>
      </c>
      <c r="R258" s="627" t="s">
        <v>115</v>
      </c>
      <c r="S258" s="611" t="s">
        <v>107</v>
      </c>
      <c r="T258" s="628"/>
      <c r="U258" s="614"/>
      <c r="V258" s="405"/>
    </row>
    <row r="259" spans="1:22" s="507" customFormat="1" x14ac:dyDescent="0.35">
      <c r="A259" s="508"/>
      <c r="B259" s="571" t="s">
        <v>92</v>
      </c>
      <c r="C259" s="629"/>
      <c r="D259" s="629"/>
      <c r="E259" s="629"/>
      <c r="F259" s="554"/>
      <c r="G259" s="629"/>
      <c r="H259" s="629"/>
      <c r="I259" s="629"/>
      <c r="J259" s="629"/>
      <c r="K259" s="629"/>
      <c r="L259" s="629"/>
      <c r="M259" s="629"/>
      <c r="N259" s="629"/>
      <c r="O259" s="629"/>
      <c r="P259" s="571">
        <v>54</v>
      </c>
      <c r="Q259" s="632">
        <f t="shared" ref="Q259:Q266" si="7">P259/$P$268</f>
        <v>0.87096774193548387</v>
      </c>
      <c r="R259" s="594">
        <v>8531</v>
      </c>
      <c r="S259" s="632">
        <f t="shared" ref="S259:S266" si="8">R259/$R$268</f>
        <v>0.8579905461128432</v>
      </c>
      <c r="T259" s="554"/>
      <c r="U259" s="554"/>
      <c r="V259" s="506"/>
    </row>
    <row r="260" spans="1:22" s="507" customFormat="1" x14ac:dyDescent="0.35">
      <c r="A260" s="520"/>
      <c r="B260" s="564" t="s">
        <v>93</v>
      </c>
      <c r="C260" s="588"/>
      <c r="D260" s="588"/>
      <c r="E260" s="588"/>
      <c r="F260" s="521"/>
      <c r="G260" s="587"/>
      <c r="H260" s="588"/>
      <c r="I260" s="588"/>
      <c r="J260" s="588"/>
      <c r="K260" s="588"/>
      <c r="L260" s="588"/>
      <c r="M260" s="588"/>
      <c r="N260" s="588"/>
      <c r="O260" s="588"/>
      <c r="P260" s="564">
        <v>1</v>
      </c>
      <c r="Q260" s="587">
        <f t="shared" si="7"/>
        <v>1.6129032258064516E-2</v>
      </c>
      <c r="R260" s="565">
        <v>96</v>
      </c>
      <c r="S260" s="587">
        <f t="shared" si="8"/>
        <v>9.6550336920446546E-3</v>
      </c>
      <c r="T260" s="521"/>
      <c r="U260" s="523"/>
      <c r="V260" s="506"/>
    </row>
    <row r="261" spans="1:22" s="507" customFormat="1" x14ac:dyDescent="0.35">
      <c r="A261" s="520"/>
      <c r="B261" s="564" t="s">
        <v>94</v>
      </c>
      <c r="C261" s="588"/>
      <c r="D261" s="588"/>
      <c r="E261" s="588"/>
      <c r="F261" s="521"/>
      <c r="G261" s="587"/>
      <c r="H261" s="588"/>
      <c r="I261" s="588"/>
      <c r="J261" s="588"/>
      <c r="K261" s="588"/>
      <c r="L261" s="588"/>
      <c r="M261" s="588"/>
      <c r="N261" s="588"/>
      <c r="O261" s="588"/>
      <c r="P261" s="564">
        <v>0</v>
      </c>
      <c r="Q261" s="587">
        <f t="shared" si="7"/>
        <v>0</v>
      </c>
      <c r="R261" s="565">
        <v>0</v>
      </c>
      <c r="S261" s="587">
        <f t="shared" si="8"/>
        <v>0</v>
      </c>
      <c r="T261" s="521"/>
      <c r="U261" s="523"/>
      <c r="V261" s="506"/>
    </row>
    <row r="262" spans="1:22" s="507" customFormat="1" x14ac:dyDescent="0.35">
      <c r="A262" s="520"/>
      <c r="B262" s="564" t="s">
        <v>164</v>
      </c>
      <c r="C262" s="588"/>
      <c r="D262" s="588"/>
      <c r="E262" s="588"/>
      <c r="F262" s="521"/>
      <c r="G262" s="587"/>
      <c r="H262" s="588"/>
      <c r="I262" s="588"/>
      <c r="J262" s="588"/>
      <c r="K262" s="588"/>
      <c r="L262" s="588"/>
      <c r="M262" s="588"/>
      <c r="N262" s="588"/>
      <c r="O262" s="588"/>
      <c r="P262" s="564">
        <v>2</v>
      </c>
      <c r="Q262" s="587">
        <f t="shared" si="7"/>
        <v>3.2258064516129031E-2</v>
      </c>
      <c r="R262" s="565">
        <v>173</v>
      </c>
      <c r="S262" s="587">
        <f t="shared" si="8"/>
        <v>1.7399175299205472E-2</v>
      </c>
      <c r="T262" s="521"/>
      <c r="U262" s="523"/>
      <c r="V262" s="506"/>
    </row>
    <row r="263" spans="1:22" s="507" customFormat="1" x14ac:dyDescent="0.35">
      <c r="A263" s="520"/>
      <c r="B263" s="564" t="s">
        <v>165</v>
      </c>
      <c r="C263" s="588"/>
      <c r="D263" s="588"/>
      <c r="E263" s="588"/>
      <c r="F263" s="521"/>
      <c r="G263" s="587"/>
      <c r="H263" s="588"/>
      <c r="I263" s="588"/>
      <c r="J263" s="588"/>
      <c r="K263" s="588"/>
      <c r="L263" s="588"/>
      <c r="M263" s="588"/>
      <c r="N263" s="588"/>
      <c r="O263" s="588"/>
      <c r="P263" s="564">
        <v>0</v>
      </c>
      <c r="Q263" s="587">
        <f t="shared" si="7"/>
        <v>0</v>
      </c>
      <c r="R263" s="565">
        <v>0</v>
      </c>
      <c r="S263" s="587">
        <f t="shared" si="8"/>
        <v>0</v>
      </c>
      <c r="T263" s="521"/>
      <c r="U263" s="523"/>
      <c r="V263" s="506"/>
    </row>
    <row r="264" spans="1:22" s="507" customFormat="1" x14ac:dyDescent="0.35">
      <c r="A264" s="520"/>
      <c r="B264" s="564" t="s">
        <v>166</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2" s="507" customFormat="1" x14ac:dyDescent="0.35">
      <c r="A265" s="520"/>
      <c r="B265" s="564" t="s">
        <v>167</v>
      </c>
      <c r="C265" s="588"/>
      <c r="D265" s="588"/>
      <c r="E265" s="588"/>
      <c r="F265" s="521"/>
      <c r="G265" s="587"/>
      <c r="H265" s="588"/>
      <c r="I265" s="588"/>
      <c r="J265" s="588"/>
      <c r="K265" s="588"/>
      <c r="L265" s="588"/>
      <c r="M265" s="588"/>
      <c r="N265" s="588"/>
      <c r="O265" s="588"/>
      <c r="P265" s="564">
        <v>3</v>
      </c>
      <c r="Q265" s="587">
        <f t="shared" si="7"/>
        <v>4.8387096774193547E-2</v>
      </c>
      <c r="R265" s="565">
        <v>976</v>
      </c>
      <c r="S265" s="587">
        <f t="shared" si="8"/>
        <v>9.815950920245399E-2</v>
      </c>
      <c r="T265" s="521"/>
      <c r="U265" s="523"/>
      <c r="V265" s="506"/>
    </row>
    <row r="266" spans="1:22" s="507" customFormat="1" x14ac:dyDescent="0.35">
      <c r="A266" s="520"/>
      <c r="B266" s="564" t="s">
        <v>168</v>
      </c>
      <c r="C266" s="588"/>
      <c r="D266" s="588"/>
      <c r="E266" s="588"/>
      <c r="F266" s="521"/>
      <c r="G266" s="587"/>
      <c r="H266" s="588"/>
      <c r="I266" s="588"/>
      <c r="J266" s="588"/>
      <c r="K266" s="588"/>
      <c r="L266" s="588"/>
      <c r="M266" s="588"/>
      <c r="N266" s="588"/>
      <c r="O266" s="588"/>
      <c r="P266" s="564">
        <v>2</v>
      </c>
      <c r="Q266" s="587">
        <f t="shared" si="7"/>
        <v>3.2258064516129031E-2</v>
      </c>
      <c r="R266" s="565">
        <v>167</v>
      </c>
      <c r="S266" s="587">
        <f t="shared" si="8"/>
        <v>1.679573569345268E-2</v>
      </c>
      <c r="T266" s="521"/>
      <c r="U266" s="523"/>
      <c r="V266" s="506"/>
    </row>
    <row r="267" spans="1:22" s="507" customFormat="1" x14ac:dyDescent="0.35">
      <c r="A267" s="520"/>
      <c r="B267" s="564"/>
      <c r="C267" s="588"/>
      <c r="D267" s="588"/>
      <c r="E267" s="588"/>
      <c r="F267" s="521"/>
      <c r="G267" s="587"/>
      <c r="H267" s="588"/>
      <c r="I267" s="588"/>
      <c r="J267" s="588"/>
      <c r="K267" s="588"/>
      <c r="L267" s="588"/>
      <c r="M267" s="588"/>
      <c r="N267" s="588"/>
      <c r="O267" s="588"/>
      <c r="P267" s="564"/>
      <c r="Q267" s="587"/>
      <c r="R267" s="565"/>
      <c r="S267" s="587"/>
      <c r="T267" s="521"/>
      <c r="U267" s="523"/>
      <c r="V267" s="506"/>
    </row>
    <row r="268" spans="1:22" s="507" customFormat="1" x14ac:dyDescent="0.35">
      <c r="A268" s="520"/>
      <c r="B268" s="521"/>
      <c r="C268" s="521"/>
      <c r="D268" s="521"/>
      <c r="E268" s="521"/>
      <c r="F268" s="521"/>
      <c r="G268" s="521"/>
      <c r="H268" s="590"/>
      <c r="I268" s="590"/>
      <c r="J268" s="590"/>
      <c r="K268" s="590"/>
      <c r="L268" s="590"/>
      <c r="M268" s="590"/>
      <c r="N268" s="590"/>
      <c r="O268" s="590"/>
      <c r="P268" s="564">
        <f>SUM(P259:P267)</f>
        <v>62</v>
      </c>
      <c r="Q268" s="587">
        <f>SUM(Q259:Q267)</f>
        <v>0.99999999999999989</v>
      </c>
      <c r="R268" s="565">
        <f>SUM(R259:R267)</f>
        <v>9943</v>
      </c>
      <c r="S268" s="587">
        <f>SUM(S259:S267)</f>
        <v>1</v>
      </c>
      <c r="T268" s="521"/>
      <c r="U268" s="523"/>
      <c r="V268" s="506"/>
    </row>
    <row r="269" spans="1:22" x14ac:dyDescent="0.35">
      <c r="A269" s="407"/>
      <c r="B269" s="423"/>
      <c r="C269" s="423"/>
      <c r="D269" s="423"/>
      <c r="E269" s="423"/>
      <c r="F269" s="423"/>
      <c r="G269" s="423"/>
      <c r="H269" s="468"/>
      <c r="I269" s="468"/>
      <c r="J269" s="468"/>
      <c r="K269" s="468"/>
      <c r="L269" s="468"/>
      <c r="M269" s="468"/>
      <c r="N269" s="468"/>
      <c r="O269" s="468"/>
      <c r="P269" s="435"/>
      <c r="Q269" s="469"/>
      <c r="R269" s="470"/>
      <c r="S269" s="469"/>
      <c r="T269" s="423"/>
      <c r="U269" s="423"/>
      <c r="V269" s="405"/>
    </row>
    <row r="270" spans="1:22" x14ac:dyDescent="0.35">
      <c r="A270" s="599"/>
      <c r="B270" s="610" t="s">
        <v>173</v>
      </c>
      <c r="C270" s="628"/>
      <c r="D270" s="628"/>
      <c r="E270" s="628"/>
      <c r="F270" s="628"/>
      <c r="G270" s="628"/>
      <c r="H270" s="633"/>
      <c r="I270" s="633"/>
      <c r="J270" s="633"/>
      <c r="K270" s="633"/>
      <c r="L270" s="633"/>
      <c r="M270" s="633"/>
      <c r="N270" s="633"/>
      <c r="O270" s="633"/>
      <c r="P270" s="627" t="s">
        <v>106</v>
      </c>
      <c r="Q270" s="611" t="s">
        <v>107</v>
      </c>
      <c r="R270" s="627" t="s">
        <v>115</v>
      </c>
      <c r="S270" s="611" t="s">
        <v>107</v>
      </c>
      <c r="T270" s="628"/>
      <c r="U270" s="614"/>
      <c r="V270" s="405"/>
    </row>
    <row r="271" spans="1:22" s="507" customFormat="1" x14ac:dyDescent="0.35">
      <c r="A271" s="508"/>
      <c r="B271" s="571" t="s">
        <v>92</v>
      </c>
      <c r="C271" s="554"/>
      <c r="D271" s="554"/>
      <c r="E271" s="554"/>
      <c r="F271" s="554"/>
      <c r="G271" s="554"/>
      <c r="H271" s="593"/>
      <c r="I271" s="593"/>
      <c r="J271" s="593"/>
      <c r="K271" s="593"/>
      <c r="L271" s="593"/>
      <c r="M271" s="593"/>
      <c r="N271" s="593"/>
      <c r="O271" s="593"/>
      <c r="P271" s="571">
        <v>0</v>
      </c>
      <c r="Q271" s="632">
        <v>0</v>
      </c>
      <c r="R271" s="594">
        <v>0</v>
      </c>
      <c r="S271" s="632">
        <v>0</v>
      </c>
      <c r="T271" s="554"/>
      <c r="U271" s="554"/>
      <c r="V271" s="506"/>
    </row>
    <row r="272" spans="1:22" s="507" customFormat="1" x14ac:dyDescent="0.35">
      <c r="A272" s="520"/>
      <c r="B272" s="564" t="s">
        <v>93</v>
      </c>
      <c r="C272" s="521"/>
      <c r="D272" s="521"/>
      <c r="E272" s="521"/>
      <c r="F272" s="521"/>
      <c r="G272" s="521"/>
      <c r="H272" s="590"/>
      <c r="I272" s="590"/>
      <c r="J272" s="590"/>
      <c r="K272" s="590"/>
      <c r="L272" s="590"/>
      <c r="M272" s="590"/>
      <c r="N272" s="590"/>
      <c r="O272" s="590"/>
      <c r="P272" s="564">
        <v>0</v>
      </c>
      <c r="Q272" s="587">
        <v>0</v>
      </c>
      <c r="R272" s="565">
        <v>0</v>
      </c>
      <c r="S272" s="587">
        <v>0</v>
      </c>
      <c r="T272" s="521"/>
      <c r="U272" s="523"/>
      <c r="V272" s="506"/>
    </row>
    <row r="273" spans="1:22" s="507" customFormat="1" x14ac:dyDescent="0.35">
      <c r="A273" s="520"/>
      <c r="B273" s="564" t="s">
        <v>94</v>
      </c>
      <c r="C273" s="521"/>
      <c r="D273" s="521"/>
      <c r="E273" s="521"/>
      <c r="F273" s="521"/>
      <c r="G273" s="521"/>
      <c r="H273" s="590"/>
      <c r="I273" s="590"/>
      <c r="J273" s="590"/>
      <c r="K273" s="590"/>
      <c r="L273" s="590"/>
      <c r="M273" s="590"/>
      <c r="N273" s="590"/>
      <c r="O273" s="590"/>
      <c r="P273" s="564">
        <v>0</v>
      </c>
      <c r="Q273" s="587">
        <v>0</v>
      </c>
      <c r="R273" s="565">
        <v>0</v>
      </c>
      <c r="S273" s="587">
        <v>0</v>
      </c>
      <c r="T273" s="521"/>
      <c r="U273" s="523"/>
      <c r="V273" s="506"/>
    </row>
    <row r="274" spans="1:22" s="507" customFormat="1" x14ac:dyDescent="0.35">
      <c r="A274" s="520"/>
      <c r="B274" s="564" t="s">
        <v>164</v>
      </c>
      <c r="C274" s="521"/>
      <c r="D274" s="521"/>
      <c r="E274" s="521"/>
      <c r="F274" s="521"/>
      <c r="G274" s="521"/>
      <c r="H274" s="590"/>
      <c r="I274" s="590"/>
      <c r="J274" s="590"/>
      <c r="K274" s="590"/>
      <c r="L274" s="590"/>
      <c r="M274" s="590"/>
      <c r="N274" s="590"/>
      <c r="O274" s="590"/>
      <c r="P274" s="564">
        <v>0</v>
      </c>
      <c r="Q274" s="587">
        <v>0</v>
      </c>
      <c r="R274" s="565">
        <v>0</v>
      </c>
      <c r="S274" s="587">
        <v>0</v>
      </c>
      <c r="T274" s="521"/>
      <c r="U274" s="523"/>
      <c r="V274" s="506"/>
    </row>
    <row r="275" spans="1:22" s="507" customFormat="1" x14ac:dyDescent="0.35">
      <c r="A275" s="520"/>
      <c r="B275" s="564" t="s">
        <v>165</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166</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167</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168</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c r="C279" s="521"/>
      <c r="D279" s="521"/>
      <c r="E279" s="521"/>
      <c r="F279" s="521"/>
      <c r="G279" s="521"/>
      <c r="H279" s="590"/>
      <c r="I279" s="590"/>
      <c r="J279" s="590"/>
      <c r="K279" s="590"/>
      <c r="L279" s="590"/>
      <c r="M279" s="590"/>
      <c r="N279" s="590"/>
      <c r="O279" s="590"/>
      <c r="P279" s="564"/>
      <c r="Q279" s="587"/>
      <c r="R279" s="565"/>
      <c r="S279" s="587"/>
      <c r="T279" s="521"/>
      <c r="U279" s="523"/>
      <c r="V279" s="506"/>
    </row>
    <row r="280" spans="1:22" s="507" customFormat="1" x14ac:dyDescent="0.35">
      <c r="A280" s="520"/>
      <c r="B280" s="521" t="s">
        <v>121</v>
      </c>
      <c r="C280" s="521"/>
      <c r="D280" s="521"/>
      <c r="E280" s="521"/>
      <c r="F280" s="521"/>
      <c r="G280" s="521"/>
      <c r="H280" s="590"/>
      <c r="I280" s="590"/>
      <c r="J280" s="590"/>
      <c r="K280" s="590"/>
      <c r="L280" s="590"/>
      <c r="M280" s="590"/>
      <c r="N280" s="590"/>
      <c r="O280" s="590"/>
      <c r="P280" s="564">
        <f>SUM(P271:P278)</f>
        <v>0</v>
      </c>
      <c r="Q280" s="587">
        <f>SUM(Q271:Q278)</f>
        <v>0</v>
      </c>
      <c r="R280" s="565">
        <f>SUM(R271:R278)</f>
        <v>0</v>
      </c>
      <c r="S280" s="587">
        <f>SUM(S271:S278)</f>
        <v>0</v>
      </c>
      <c r="T280" s="521"/>
      <c r="U280" s="523"/>
      <c r="V280" s="506"/>
    </row>
    <row r="281" spans="1:22" s="507" customFormat="1" x14ac:dyDescent="0.35">
      <c r="A281" s="520"/>
      <c r="B281" s="521"/>
      <c r="C281" s="521"/>
      <c r="D281" s="521"/>
      <c r="E281" s="521"/>
      <c r="F281" s="521"/>
      <c r="G281" s="521"/>
      <c r="H281" s="590"/>
      <c r="I281" s="590"/>
      <c r="J281" s="590"/>
      <c r="K281" s="590"/>
      <c r="L281" s="590"/>
      <c r="M281" s="590"/>
      <c r="N281" s="590"/>
      <c r="O281" s="590"/>
      <c r="P281" s="564"/>
      <c r="Q281" s="587"/>
      <c r="R281" s="565"/>
      <c r="S281" s="587"/>
      <c r="T281" s="521"/>
      <c r="U281" s="523"/>
      <c r="V281" s="506"/>
    </row>
    <row r="282" spans="1:22" s="507" customFormat="1" x14ac:dyDescent="0.35">
      <c r="A282" s="520"/>
      <c r="B282" s="526" t="s">
        <v>174</v>
      </c>
      <c r="C282" s="521"/>
      <c r="D282" s="521"/>
      <c r="E282" s="521"/>
      <c r="F282" s="521"/>
      <c r="G282" s="521"/>
      <c r="H282" s="590"/>
      <c r="I282" s="590"/>
      <c r="J282" s="590"/>
      <c r="K282" s="590"/>
      <c r="L282" s="590"/>
      <c r="M282" s="590"/>
      <c r="N282" s="590"/>
      <c r="O282" s="590"/>
      <c r="P282" s="591">
        <f>P280+P268+P256</f>
        <v>2485</v>
      </c>
      <c r="Q282" s="587"/>
      <c r="R282" s="592">
        <f>+R280+R268+R256</f>
        <v>328976</v>
      </c>
      <c r="S282" s="587"/>
      <c r="T282" s="521"/>
      <c r="U282" s="523"/>
      <c r="V282" s="506"/>
    </row>
    <row r="283" spans="1:22" s="507" customFormat="1" x14ac:dyDescent="0.35">
      <c r="A283" s="508"/>
      <c r="B283" s="554"/>
      <c r="C283" s="554"/>
      <c r="D283" s="554"/>
      <c r="E283" s="554"/>
      <c r="F283" s="554"/>
      <c r="G283" s="554"/>
      <c r="H283" s="593"/>
      <c r="I283" s="593"/>
      <c r="J283" s="593"/>
      <c r="K283" s="593"/>
      <c r="L283" s="593"/>
      <c r="M283" s="593"/>
      <c r="N283" s="593"/>
      <c r="O283" s="593"/>
      <c r="P283" s="593"/>
      <c r="Q283" s="593"/>
      <c r="R283" s="594"/>
      <c r="S283" s="593"/>
      <c r="T283" s="554"/>
      <c r="U283" s="554"/>
      <c r="V283" s="506"/>
    </row>
    <row r="284" spans="1:22" s="507" customFormat="1" x14ac:dyDescent="0.35">
      <c r="A284" s="508"/>
      <c r="B284" s="509"/>
      <c r="C284" s="509"/>
      <c r="D284" s="509"/>
      <c r="E284" s="509"/>
      <c r="F284" s="509"/>
      <c r="G284" s="509"/>
      <c r="H284" s="595"/>
      <c r="I284" s="595"/>
      <c r="J284" s="595"/>
      <c r="K284" s="595"/>
      <c r="L284" s="595"/>
      <c r="M284" s="595"/>
      <c r="N284" s="595"/>
      <c r="O284" s="595"/>
      <c r="P284" s="595"/>
      <c r="Q284" s="595"/>
      <c r="R284" s="596"/>
      <c r="S284" s="595"/>
      <c r="T284" s="509"/>
      <c r="U284" s="509"/>
      <c r="V284" s="506"/>
    </row>
    <row r="285" spans="1:22" s="507" customFormat="1" x14ac:dyDescent="0.35">
      <c r="A285" s="508"/>
      <c r="B285" s="503" t="s">
        <v>95</v>
      </c>
      <c r="C285" s="509"/>
      <c r="D285" s="509"/>
      <c r="E285" s="509"/>
      <c r="F285" s="514" t="s">
        <v>101</v>
      </c>
      <c r="G285" s="509"/>
      <c r="H285" s="503" t="s">
        <v>103</v>
      </c>
      <c r="I285" s="509"/>
      <c r="J285" s="509"/>
      <c r="K285" s="509"/>
      <c r="L285" s="509"/>
      <c r="M285" s="509"/>
      <c r="N285" s="509"/>
      <c r="O285" s="509"/>
      <c r="P285" s="509"/>
      <c r="Q285" s="509"/>
      <c r="R285" s="509"/>
      <c r="S285" s="509"/>
      <c r="T285" s="509"/>
      <c r="U285" s="509"/>
      <c r="V285" s="506"/>
    </row>
    <row r="286" spans="1:22" s="507" customFormat="1" x14ac:dyDescent="0.35">
      <c r="A286" s="508"/>
      <c r="B286" s="503" t="s">
        <v>330</v>
      </c>
      <c r="C286" s="503"/>
      <c r="D286" s="503"/>
      <c r="E286" s="503"/>
      <c r="F286" s="597" t="s">
        <v>278</v>
      </c>
      <c r="G286" s="503"/>
      <c r="H286" s="476" t="s">
        <v>362</v>
      </c>
      <c r="I286" s="509"/>
      <c r="J286" s="509"/>
      <c r="K286" s="509"/>
      <c r="L286" s="509"/>
      <c r="M286" s="509"/>
      <c r="N286" s="509"/>
      <c r="O286" s="509"/>
      <c r="P286" s="509"/>
      <c r="Q286" s="509"/>
      <c r="R286" s="509"/>
      <c r="S286" s="509"/>
      <c r="T286" s="509"/>
      <c r="U286" s="509"/>
      <c r="V286" s="506"/>
    </row>
    <row r="287" spans="1:22" s="507" customFormat="1" x14ac:dyDescent="0.35">
      <c r="A287" s="508"/>
      <c r="B287" s="503" t="s">
        <v>331</v>
      </c>
      <c r="C287" s="503"/>
      <c r="D287" s="503"/>
      <c r="E287" s="503"/>
      <c r="F287" s="597" t="s">
        <v>154</v>
      </c>
      <c r="G287" s="503"/>
      <c r="H287" s="476" t="s">
        <v>363</v>
      </c>
      <c r="I287" s="509"/>
      <c r="J287" s="509"/>
      <c r="K287" s="509"/>
      <c r="L287" s="509"/>
      <c r="M287" s="509"/>
      <c r="N287" s="509"/>
      <c r="O287" s="509"/>
      <c r="P287" s="509"/>
      <c r="Q287" s="509"/>
      <c r="R287" s="509"/>
      <c r="S287" s="509"/>
      <c r="T287" s="509"/>
      <c r="U287" s="509"/>
      <c r="V287" s="506"/>
    </row>
    <row r="288" spans="1:22" s="507" customFormat="1" x14ac:dyDescent="0.35">
      <c r="A288" s="508"/>
      <c r="B288" s="503"/>
      <c r="C288" s="503"/>
      <c r="D288" s="503"/>
      <c r="E288" s="503"/>
      <c r="F288" s="597"/>
      <c r="G288" s="503"/>
      <c r="H288" s="503"/>
      <c r="I288" s="509"/>
      <c r="J288" s="509"/>
      <c r="K288" s="509"/>
      <c r="L288" s="509"/>
      <c r="M288" s="509"/>
      <c r="N288" s="509"/>
      <c r="O288" s="509"/>
      <c r="P288" s="509"/>
      <c r="Q288" s="509"/>
      <c r="R288" s="509"/>
      <c r="S288" s="509"/>
      <c r="T288" s="509"/>
      <c r="U288" s="509"/>
      <c r="V288" s="506"/>
    </row>
    <row r="289" spans="1:22" s="507" customFormat="1" x14ac:dyDescent="0.35">
      <c r="A289" s="508"/>
      <c r="B289" s="554" t="s">
        <v>358</v>
      </c>
      <c r="C289" s="503"/>
      <c r="D289" s="503"/>
      <c r="E289" s="503"/>
      <c r="F289" s="597"/>
      <c r="G289" s="503"/>
      <c r="H289" s="503"/>
      <c r="I289" s="509"/>
      <c r="J289" s="509"/>
      <c r="K289" s="509"/>
      <c r="L289" s="509"/>
      <c r="M289" s="509"/>
      <c r="N289" s="509"/>
      <c r="O289" s="509"/>
      <c r="P289" s="509"/>
      <c r="Q289" s="509"/>
      <c r="R289" s="509"/>
      <c r="S289" s="509"/>
      <c r="T289" s="509"/>
      <c r="U289" s="509"/>
      <c r="V289" s="506"/>
    </row>
    <row r="290" spans="1:22" s="507" customFormat="1" x14ac:dyDescent="0.35">
      <c r="A290" s="508"/>
      <c r="B290" s="554" t="s">
        <v>364</v>
      </c>
      <c r="C290" s="503"/>
      <c r="D290" s="503"/>
      <c r="E290" s="503"/>
      <c r="F290" s="597"/>
      <c r="G290" s="503"/>
      <c r="H290" s="503"/>
      <c r="I290" s="509"/>
      <c r="J290" s="509"/>
      <c r="K290" s="509"/>
      <c r="L290" s="509"/>
      <c r="M290" s="509"/>
      <c r="N290" s="509"/>
      <c r="O290" s="509"/>
      <c r="P290" s="509"/>
      <c r="Q290" s="509"/>
      <c r="R290" s="509"/>
      <c r="S290" s="509"/>
      <c r="T290" s="509"/>
      <c r="U290" s="509"/>
      <c r="V290" s="506"/>
    </row>
    <row r="291" spans="1:22" s="507" customFormat="1" x14ac:dyDescent="0.35">
      <c r="A291" s="508"/>
      <c r="B291" s="554" t="s">
        <v>357</v>
      </c>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356</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x14ac:dyDescent="0.35">
      <c r="A293" s="407"/>
      <c r="B293" s="423"/>
      <c r="C293" s="414"/>
      <c r="D293" s="414"/>
      <c r="E293" s="414"/>
      <c r="F293" s="471"/>
      <c r="G293" s="414"/>
      <c r="H293" s="414"/>
      <c r="I293" s="424"/>
      <c r="J293" s="424"/>
      <c r="K293" s="424"/>
      <c r="L293" s="424"/>
      <c r="M293" s="424"/>
      <c r="N293" s="424"/>
      <c r="O293" s="424"/>
      <c r="P293" s="424"/>
      <c r="Q293" s="424"/>
      <c r="R293" s="424"/>
      <c r="S293" s="424"/>
      <c r="T293" s="424"/>
      <c r="U293" s="424"/>
      <c r="V293" s="405"/>
    </row>
    <row r="294" spans="1:22" ht="18.5" x14ac:dyDescent="0.45">
      <c r="A294" s="407"/>
      <c r="B294" s="477" t="s">
        <v>359</v>
      </c>
      <c r="C294" s="414"/>
      <c r="D294" s="414"/>
      <c r="E294" s="414"/>
      <c r="F294" s="414"/>
      <c r="G294" s="414"/>
      <c r="H294" s="424"/>
      <c r="I294" s="424"/>
      <c r="J294" s="424"/>
      <c r="K294" s="424"/>
      <c r="L294" s="409"/>
      <c r="M294" s="409"/>
      <c r="N294" s="472"/>
      <c r="O294" s="409"/>
      <c r="P294" s="474" t="s">
        <v>361</v>
      </c>
      <c r="Q294" s="424"/>
      <c r="R294" s="424"/>
      <c r="S294" s="424"/>
      <c r="T294" s="424"/>
      <c r="U294" s="424"/>
      <c r="V294" s="405"/>
    </row>
    <row r="295" spans="1:22" x14ac:dyDescent="0.35">
      <c r="A295" s="407"/>
      <c r="B295" s="414"/>
      <c r="C295" s="414"/>
      <c r="D295" s="414"/>
      <c r="E295" s="414"/>
      <c r="F295" s="414"/>
      <c r="G295" s="414"/>
      <c r="H295" s="424"/>
      <c r="I295" s="424"/>
      <c r="J295" s="424"/>
      <c r="K295" s="424"/>
      <c r="L295" s="424"/>
      <c r="M295" s="424"/>
      <c r="N295" s="424"/>
      <c r="O295" s="424"/>
      <c r="P295" s="424"/>
      <c r="Q295" s="424"/>
      <c r="R295" s="424"/>
      <c r="S295" s="424"/>
      <c r="T295" s="424"/>
      <c r="U295" s="424"/>
      <c r="V295" s="405"/>
    </row>
    <row r="296" spans="1:22" ht="19" thickBot="1" x14ac:dyDescent="0.5">
      <c r="A296" s="407"/>
      <c r="B296" s="598" t="str">
        <f>B196</f>
        <v>PM10 INVESTOR REPORT QUARTER ENDING MAY 2019</v>
      </c>
      <c r="C296" s="414"/>
      <c r="D296" s="414"/>
      <c r="E296" s="414"/>
      <c r="F296" s="414"/>
      <c r="G296" s="414"/>
      <c r="H296" s="424"/>
      <c r="I296" s="424"/>
      <c r="J296" s="424"/>
      <c r="K296" s="424"/>
      <c r="L296" s="424"/>
      <c r="M296" s="424"/>
      <c r="N296" s="424"/>
      <c r="O296" s="424"/>
      <c r="P296" s="424"/>
      <c r="Q296" s="424"/>
      <c r="R296" s="424"/>
      <c r="S296" s="424"/>
      <c r="T296" s="424"/>
      <c r="U296" s="424"/>
      <c r="V296" s="405"/>
    </row>
    <row r="297" spans="1:22" x14ac:dyDescent="0.35">
      <c r="A297" s="473"/>
      <c r="B297" s="473"/>
      <c r="C297" s="473"/>
      <c r="D297" s="473"/>
      <c r="E297" s="473"/>
      <c r="F297" s="473"/>
      <c r="G297" s="473"/>
      <c r="H297" s="473"/>
      <c r="I297" s="473"/>
      <c r="J297" s="473"/>
      <c r="K297" s="473"/>
      <c r="L297" s="473"/>
      <c r="M297" s="473"/>
      <c r="N297" s="473"/>
      <c r="O297" s="473"/>
      <c r="P297" s="473"/>
      <c r="Q297" s="473"/>
      <c r="R297" s="473"/>
      <c r="S297" s="473"/>
      <c r="T297" s="473"/>
      <c r="U297" s="473"/>
    </row>
  </sheetData>
  <hyperlinks>
    <hyperlink ref="J9" r:id="rId1" xr:uid="{00000000-0004-0000-3500-000000000000}"/>
    <hyperlink ref="N232" r:id="rId2" xr:uid="{00000000-0004-0000-3500-000001000000}"/>
    <hyperlink ref="P294" r:id="rId3" xr:uid="{00000000-0004-0000-35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5" max="14" man="1"/>
    <brk id="196" max="14"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C24FB-1054-4DE8-9386-AF0F7FF3E316}">
  <sheetPr>
    <tabColor rgb="FF2D2926"/>
  </sheetPr>
  <dimension ref="A1:Z300"/>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0.69350000000000001</v>
      </c>
      <c r="R16" s="514" t="s">
        <v>147</v>
      </c>
      <c r="S16" s="513">
        <v>0.30649999999999999</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43726</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175</v>
      </c>
      <c r="K27" s="525"/>
      <c r="L27" s="525" t="s">
        <v>175</v>
      </c>
      <c r="M27" s="525"/>
      <c r="N27" s="525" t="s">
        <v>320</v>
      </c>
      <c r="O27" s="525"/>
      <c r="P27" s="525" t="s">
        <v>320</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0</v>
      </c>
      <c r="E32" s="528"/>
      <c r="F32" s="529">
        <f>F31*F38</f>
        <v>104439.993</v>
      </c>
      <c r="G32" s="529"/>
      <c r="H32" s="533">
        <f>H31*H38</f>
        <v>220815.9852</v>
      </c>
      <c r="I32" s="529"/>
      <c r="J32" s="529">
        <f>J31*J38</f>
        <v>20439.887200000001</v>
      </c>
      <c r="K32" s="529"/>
      <c r="L32" s="533">
        <f>L31*L38</f>
        <v>12857.348400000001</v>
      </c>
      <c r="M32" s="529"/>
      <c r="N32" s="534">
        <f>N31*N38</f>
        <v>33956.586800000005</v>
      </c>
      <c r="O32" s="529"/>
      <c r="P32" s="533">
        <f>P31*P38</f>
        <v>18132.157999999999</v>
      </c>
      <c r="Q32" s="529"/>
      <c r="R32" s="529"/>
      <c r="S32" s="528"/>
      <c r="T32" s="529"/>
      <c r="U32" s="530"/>
      <c r="V32" s="506"/>
    </row>
    <row r="33" spans="1:26" s="507" customFormat="1" x14ac:dyDescent="0.35">
      <c r="A33" s="520"/>
      <c r="B33" s="526" t="s">
        <v>141</v>
      </c>
      <c r="C33" s="528"/>
      <c r="D33" s="536">
        <f>D34*D37</f>
        <v>0</v>
      </c>
      <c r="E33" s="531"/>
      <c r="F33" s="535">
        <f>F37*F31</f>
        <v>102445.245</v>
      </c>
      <c r="G33" s="535"/>
      <c r="H33" s="537">
        <f>H31*H37</f>
        <v>216598.51800000001</v>
      </c>
      <c r="I33" s="535"/>
      <c r="J33" s="535">
        <f>J31*J37</f>
        <v>20049.498000000003</v>
      </c>
      <c r="K33" s="535"/>
      <c r="L33" s="537">
        <f>L31*L37</f>
        <v>12611.781000000001</v>
      </c>
      <c r="M33" s="535"/>
      <c r="N33" s="535">
        <f>N31*N37</f>
        <v>33308.037000000004</v>
      </c>
      <c r="O33" s="535"/>
      <c r="P33" s="537">
        <f>P31*P37</f>
        <v>17785.845000000001</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0</v>
      </c>
      <c r="E35" s="528"/>
      <c r="F35" s="529">
        <f>F34*F38</f>
        <v>104439.993</v>
      </c>
      <c r="G35" s="529"/>
      <c r="H35" s="529">
        <f>H34*H38</f>
        <v>149199.99</v>
      </c>
      <c r="I35" s="529"/>
      <c r="J35" s="529">
        <f>J32</f>
        <v>20439.887200000001</v>
      </c>
      <c r="K35" s="529"/>
      <c r="L35" s="529">
        <f>L34*L38</f>
        <v>8687.6114111999996</v>
      </c>
      <c r="M35" s="529"/>
      <c r="N35" s="529">
        <f>N32</f>
        <v>33956.586800000005</v>
      </c>
      <c r="O35" s="529"/>
      <c r="P35" s="529">
        <f>P34*P38</f>
        <v>12251.404647200001</v>
      </c>
      <c r="Q35" s="529"/>
      <c r="R35" s="529"/>
      <c r="S35" s="528"/>
      <c r="T35" s="529">
        <f>SUM(C35:P35)+1</f>
        <v>328976.47305840004</v>
      </c>
      <c r="U35" s="530"/>
      <c r="V35" s="506"/>
      <c r="X35" s="538"/>
      <c r="Z35" s="538"/>
    </row>
    <row r="36" spans="1:26" s="507" customFormat="1" x14ac:dyDescent="0.35">
      <c r="A36" s="524"/>
      <c r="B36" s="526" t="s">
        <v>298</v>
      </c>
      <c r="C36" s="531"/>
      <c r="D36" s="535">
        <f>D37*D34</f>
        <v>0</v>
      </c>
      <c r="E36" s="531"/>
      <c r="F36" s="535">
        <f>F37*F34</f>
        <v>102445.245</v>
      </c>
      <c r="G36" s="535"/>
      <c r="H36" s="535">
        <f>H37*H34</f>
        <v>146350.35</v>
      </c>
      <c r="I36" s="535"/>
      <c r="J36" s="535">
        <f>J37*J34</f>
        <v>20049.498000000003</v>
      </c>
      <c r="K36" s="535"/>
      <c r="L36" s="535">
        <f>L37*L34</f>
        <v>8521.6834080000008</v>
      </c>
      <c r="M36" s="535"/>
      <c r="N36" s="535">
        <f>N37*N34</f>
        <v>33308.037000000004</v>
      </c>
      <c r="O36" s="535"/>
      <c r="P36" s="535">
        <f>P34*P37</f>
        <v>12017.410398000002</v>
      </c>
      <c r="Q36" s="539"/>
      <c r="R36" s="539"/>
      <c r="S36" s="528"/>
      <c r="T36" s="535">
        <f>SUM(C36:P36)+1</f>
        <v>322693.22380599997</v>
      </c>
      <c r="U36" s="530"/>
      <c r="V36" s="506"/>
      <c r="X36" s="538"/>
      <c r="Z36" s="538"/>
    </row>
    <row r="37" spans="1:26" s="491" customFormat="1" x14ac:dyDescent="0.35">
      <c r="A37" s="492"/>
      <c r="B37" s="479" t="s">
        <v>137</v>
      </c>
      <c r="C37" s="493"/>
      <c r="D37" s="494">
        <v>0</v>
      </c>
      <c r="E37" s="495"/>
      <c r="F37" s="494">
        <v>0.97566900000000001</v>
      </c>
      <c r="G37" s="494"/>
      <c r="H37" s="494">
        <v>0.97566900000000001</v>
      </c>
      <c r="I37" s="494"/>
      <c r="J37" s="494">
        <v>0.64675800000000006</v>
      </c>
      <c r="K37" s="494"/>
      <c r="L37" s="494">
        <v>0.64675800000000006</v>
      </c>
      <c r="M37" s="494"/>
      <c r="N37" s="494">
        <v>0.64675800000000006</v>
      </c>
      <c r="O37" s="494"/>
      <c r="P37" s="494">
        <v>0.64675800000000006</v>
      </c>
      <c r="Q37" s="496"/>
      <c r="R37" s="496"/>
      <c r="S37" s="493"/>
      <c r="T37" s="493"/>
      <c r="U37" s="497"/>
      <c r="V37" s="490"/>
    </row>
    <row r="38" spans="1:26" s="491" customFormat="1" x14ac:dyDescent="0.35">
      <c r="A38" s="492"/>
      <c r="B38" s="479" t="s">
        <v>138</v>
      </c>
      <c r="C38" s="493"/>
      <c r="D38" s="494">
        <v>0</v>
      </c>
      <c r="E38" s="495"/>
      <c r="F38" s="494">
        <v>0.99466659999999996</v>
      </c>
      <c r="G38" s="494"/>
      <c r="H38" s="494">
        <v>0.99466659999999996</v>
      </c>
      <c r="I38" s="494"/>
      <c r="J38" s="494">
        <v>0.65935120000000003</v>
      </c>
      <c r="K38" s="494"/>
      <c r="L38" s="494">
        <v>0.65935120000000003</v>
      </c>
      <c r="M38" s="494"/>
      <c r="N38" s="494">
        <v>0.65935120000000003</v>
      </c>
      <c r="O38" s="494"/>
      <c r="P38" s="494">
        <v>0.65935120000000003</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0</v>
      </c>
      <c r="E40" s="521"/>
      <c r="F40" s="541">
        <v>1.10613E-2</v>
      </c>
      <c r="G40" s="540"/>
      <c r="H40" s="541">
        <v>2.0000000000000002E-5</v>
      </c>
      <c r="I40" s="540"/>
      <c r="J40" s="541">
        <v>1.32613E-2</v>
      </c>
      <c r="K40" s="540"/>
      <c r="L40" s="541">
        <v>2.2200000000000002E-3</v>
      </c>
      <c r="M40" s="540"/>
      <c r="N40" s="541">
        <v>1.8861300000000001E-2</v>
      </c>
      <c r="O40" s="540"/>
      <c r="P40" s="541">
        <v>7.8200000000000006E-3</v>
      </c>
      <c r="Q40" s="540"/>
      <c r="R40" s="541"/>
      <c r="S40" s="521"/>
      <c r="T40" s="527"/>
      <c r="U40" s="523"/>
      <c r="V40" s="506"/>
    </row>
    <row r="41" spans="1:26" s="507" customFormat="1" x14ac:dyDescent="0.35">
      <c r="A41" s="520"/>
      <c r="B41" s="521" t="s">
        <v>13</v>
      </c>
      <c r="C41" s="521"/>
      <c r="D41" s="541">
        <v>9.3463000000000001E-3</v>
      </c>
      <c r="E41" s="521"/>
      <c r="F41" s="541">
        <v>1.16463E-2</v>
      </c>
      <c r="G41" s="540"/>
      <c r="H41" s="541">
        <v>1E-4</v>
      </c>
      <c r="I41" s="540"/>
      <c r="J41" s="541">
        <v>1.3846300000000001E-2</v>
      </c>
      <c r="K41" s="540"/>
      <c r="L41" s="541">
        <v>2.3E-3</v>
      </c>
      <c r="M41" s="540"/>
      <c r="N41" s="541">
        <v>1.94463E-2</v>
      </c>
      <c r="O41" s="540"/>
      <c r="P41" s="541">
        <v>7.9000000000000008E-3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0</v>
      </c>
      <c r="E43" s="521"/>
      <c r="F43" s="541">
        <f>+F40</f>
        <v>1.10613E-2</v>
      </c>
      <c r="G43" s="540"/>
      <c r="H43" s="541">
        <v>1.15113E-2</v>
      </c>
      <c r="I43" s="540"/>
      <c r="J43" s="541">
        <f>+J40</f>
        <v>1.32613E-2</v>
      </c>
      <c r="K43" s="540"/>
      <c r="L43" s="541">
        <v>1.39913E-2</v>
      </c>
      <c r="M43" s="540"/>
      <c r="N43" s="541">
        <f>+N40</f>
        <v>1.8861300000000001E-2</v>
      </c>
      <c r="O43" s="540"/>
      <c r="P43" s="541">
        <v>2.0091299999999999E-2</v>
      </c>
      <c r="Q43" s="527"/>
      <c r="R43" s="527"/>
      <c r="S43" s="521"/>
      <c r="T43" s="540">
        <f>SUMPRODUCT(D43:P43,D35:P35)/T35</f>
        <v>1.2620812580670035E-2</v>
      </c>
      <c r="U43" s="523"/>
      <c r="V43" s="506"/>
    </row>
    <row r="44" spans="1:26" s="507" customFormat="1" x14ac:dyDescent="0.35">
      <c r="A44" s="520"/>
      <c r="B44" s="521" t="s">
        <v>301</v>
      </c>
      <c r="C44" s="542"/>
      <c r="D44" s="541">
        <f>+D41</f>
        <v>9.3463000000000001E-3</v>
      </c>
      <c r="E44" s="521"/>
      <c r="F44" s="541">
        <f>+F41</f>
        <v>1.16463E-2</v>
      </c>
      <c r="G44" s="540"/>
      <c r="H44" s="541">
        <v>1.2096300000000001E-2</v>
      </c>
      <c r="I44" s="540"/>
      <c r="J44" s="541">
        <f>+J41</f>
        <v>1.3846300000000001E-2</v>
      </c>
      <c r="K44" s="540"/>
      <c r="L44" s="541">
        <v>1.45763E-2</v>
      </c>
      <c r="M44" s="540"/>
      <c r="N44" s="541">
        <f>+N41</f>
        <v>1.94463E-2</v>
      </c>
      <c r="O44" s="540"/>
      <c r="P44" s="541">
        <v>2.0676300000000002E-2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0.29701743234642081</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43724</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94</v>
      </c>
      <c r="Q56" s="521"/>
      <c r="R56" s="551">
        <v>43539</v>
      </c>
      <c r="S56" s="552"/>
      <c r="T56" s="551">
        <v>43632</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91</v>
      </c>
      <c r="Q57" s="521"/>
      <c r="R57" s="551">
        <v>43633</v>
      </c>
      <c r="S57" s="552"/>
      <c r="T57" s="551">
        <v>43723</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43709</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372</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328976</v>
      </c>
      <c r="M67" s="564"/>
      <c r="N67" s="564">
        <f>6283</f>
        <v>6283</v>
      </c>
      <c r="O67" s="564"/>
      <c r="P67" s="564">
        <v>0</v>
      </c>
      <c r="Q67" s="564"/>
      <c r="R67" s="564">
        <v>0</v>
      </c>
      <c r="S67" s="564"/>
      <c r="T67" s="565">
        <f>+L67-N67+P67-R67</f>
        <v>322693</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328976</v>
      </c>
      <c r="M70" s="564"/>
      <c r="N70" s="564">
        <f>SUM(N67:N69)</f>
        <v>6283</v>
      </c>
      <c r="O70" s="564"/>
      <c r="P70" s="564">
        <f>SUM(P67:P69)</f>
        <v>0</v>
      </c>
      <c r="Q70" s="564"/>
      <c r="R70" s="564">
        <f>SUM(R67:R69)</f>
        <v>0</v>
      </c>
      <c r="S70" s="564"/>
      <c r="T70" s="564">
        <f>SUM(T67:T69)</f>
        <v>322693</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328976</v>
      </c>
      <c r="M83" s="564"/>
      <c r="N83" s="564"/>
      <c r="O83" s="564"/>
      <c r="P83" s="564"/>
      <c r="Q83" s="564"/>
      <c r="R83" s="564"/>
      <c r="S83" s="564"/>
      <c r="T83" s="564">
        <f>SUM(T70:T82)</f>
        <v>322693</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+R200</f>
        <v>43707</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6283-314</f>
        <v>5969</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1894+925-444-232</f>
        <v>2143</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123+42</f>
        <v>165</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45</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7</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5969</v>
      </c>
      <c r="S95" s="521"/>
      <c r="T95" s="564">
        <f>SUM(T87:T94)</f>
        <v>2360</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225</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5969</v>
      </c>
      <c r="S99" s="521"/>
      <c r="T99" s="564">
        <f>T95+T97+T96+T98</f>
        <v>2585</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-128-74-5</f>
        <v>-207</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v>-288</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-428</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-30</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-68</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-61</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-160</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-7</v>
      </c>
      <c r="U113" s="523"/>
      <c r="V113" s="506"/>
    </row>
    <row r="114" spans="1:22" s="507" customFormat="1" x14ac:dyDescent="0.35">
      <c r="A114" s="520">
        <f t="shared" ref="A114:A122" si="0">+A113+1</f>
        <v>9</v>
      </c>
      <c r="B114" s="521" t="s">
        <v>47</v>
      </c>
      <c r="C114" s="521"/>
      <c r="D114" s="521"/>
      <c r="E114" s="521"/>
      <c r="F114" s="521"/>
      <c r="G114" s="521"/>
      <c r="H114" s="521"/>
      <c r="I114" s="521"/>
      <c r="J114" s="521"/>
      <c r="K114" s="521"/>
      <c r="L114" s="521"/>
      <c r="M114" s="521"/>
      <c r="N114" s="521"/>
      <c r="O114" s="521"/>
      <c r="P114" s="521"/>
      <c r="Q114" s="521"/>
      <c r="R114" s="564">
        <f>-T114</f>
        <v>314</v>
      </c>
      <c r="S114" s="521"/>
      <c r="T114" s="565">
        <v>-314</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-127</v>
      </c>
      <c r="U118" s="523"/>
      <c r="V118" s="506"/>
    </row>
    <row r="119" spans="1:22" s="507" customFormat="1" x14ac:dyDescent="0.35">
      <c r="A119" s="520">
        <f t="shared" si="0"/>
        <v>14</v>
      </c>
      <c r="B119" s="568" t="s">
        <v>376</v>
      </c>
      <c r="C119" s="521"/>
      <c r="D119" s="521"/>
      <c r="E119" s="521"/>
      <c r="F119" s="521"/>
      <c r="G119" s="521"/>
      <c r="H119" s="521"/>
      <c r="I119" s="521"/>
      <c r="J119" s="521"/>
      <c r="K119" s="521"/>
      <c r="L119" s="521"/>
      <c r="M119" s="521"/>
      <c r="N119" s="521"/>
      <c r="O119" s="521"/>
      <c r="P119" s="521"/>
      <c r="Q119" s="521"/>
      <c r="R119" s="521"/>
      <c r="S119" s="521"/>
      <c r="T119" s="565">
        <v>-222</v>
      </c>
      <c r="U119" s="523"/>
      <c r="V119" s="506"/>
    </row>
    <row r="120" spans="1:22" s="507" customFormat="1" x14ac:dyDescent="0.35">
      <c r="A120" s="520">
        <f t="shared" si="0"/>
        <v>15</v>
      </c>
      <c r="B120" s="521" t="s">
        <v>373</v>
      </c>
      <c r="C120" s="521"/>
      <c r="D120" s="521"/>
      <c r="E120" s="521"/>
      <c r="F120" s="521"/>
      <c r="G120" s="521"/>
      <c r="H120" s="521"/>
      <c r="I120" s="521"/>
      <c r="J120" s="521"/>
      <c r="K120" s="521"/>
      <c r="L120" s="521"/>
      <c r="M120" s="521"/>
      <c r="N120" s="521"/>
      <c r="O120" s="521"/>
      <c r="P120" s="521"/>
      <c r="Q120" s="521"/>
      <c r="R120" s="521"/>
      <c r="S120" s="521"/>
      <c r="T120" s="565">
        <v>-7</v>
      </c>
      <c r="U120" s="523"/>
      <c r="V120" s="506"/>
    </row>
    <row r="121" spans="1:22" s="507" customFormat="1" x14ac:dyDescent="0.35">
      <c r="A121" s="520">
        <f t="shared" si="0"/>
        <v>16</v>
      </c>
      <c r="B121" s="521" t="s">
        <v>375</v>
      </c>
      <c r="C121" s="521"/>
      <c r="D121" s="521"/>
      <c r="E121" s="521"/>
      <c r="F121" s="521"/>
      <c r="G121" s="521"/>
      <c r="H121" s="521"/>
      <c r="I121" s="521"/>
      <c r="J121" s="521"/>
      <c r="K121" s="521"/>
      <c r="L121" s="521"/>
      <c r="M121" s="521"/>
      <c r="N121" s="521"/>
      <c r="O121" s="521"/>
      <c r="P121" s="521"/>
      <c r="Q121" s="521"/>
      <c r="R121" s="521"/>
      <c r="S121" s="521"/>
      <c r="T121" s="565">
        <v>0</v>
      </c>
      <c r="U121" s="523"/>
      <c r="V121" s="506"/>
    </row>
    <row r="122" spans="1:22" s="507" customFormat="1" x14ac:dyDescent="0.35">
      <c r="A122" s="520">
        <f t="shared" si="0"/>
        <v>17</v>
      </c>
      <c r="B122" s="521" t="s">
        <v>374</v>
      </c>
      <c r="C122" s="521"/>
      <c r="D122" s="521"/>
      <c r="E122" s="521"/>
      <c r="F122" s="521"/>
      <c r="G122" s="521"/>
      <c r="H122" s="521"/>
      <c r="I122" s="521"/>
      <c r="J122" s="521"/>
      <c r="K122" s="521"/>
      <c r="L122" s="521"/>
      <c r="M122" s="521"/>
      <c r="N122" s="521"/>
      <c r="O122" s="521"/>
      <c r="P122" s="521"/>
      <c r="Q122" s="521"/>
      <c r="R122" s="521"/>
      <c r="S122" s="521"/>
      <c r="T122" s="565">
        <f>-T99-SUM(T101:T121)</f>
        <v>-664</v>
      </c>
      <c r="U122" s="523"/>
      <c r="V122" s="506"/>
    </row>
    <row r="123" spans="1:22" x14ac:dyDescent="0.35">
      <c r="A123" s="416"/>
      <c r="B123" s="483" t="s">
        <v>39</v>
      </c>
      <c r="C123" s="417"/>
      <c r="D123" s="417"/>
      <c r="E123" s="417"/>
      <c r="F123" s="417"/>
      <c r="G123" s="417"/>
      <c r="H123" s="417"/>
      <c r="I123" s="417"/>
      <c r="J123" s="417"/>
      <c r="K123" s="417"/>
      <c r="L123" s="417"/>
      <c r="M123" s="417"/>
      <c r="N123" s="417"/>
      <c r="O123" s="417"/>
      <c r="P123" s="417"/>
      <c r="Q123" s="417"/>
      <c r="R123" s="417"/>
      <c r="S123" s="417"/>
      <c r="T123" s="434"/>
      <c r="U123" s="418"/>
      <c r="V123" s="405"/>
    </row>
    <row r="124" spans="1:22" s="507" customFormat="1" x14ac:dyDescent="0.35">
      <c r="A124" s="520"/>
      <c r="B124" s="521" t="s">
        <v>184</v>
      </c>
      <c r="C124" s="521"/>
      <c r="D124" s="521"/>
      <c r="E124" s="521"/>
      <c r="F124" s="521"/>
      <c r="G124" s="521"/>
      <c r="H124" s="521"/>
      <c r="I124" s="521"/>
      <c r="J124" s="521"/>
      <c r="K124" s="521"/>
      <c r="L124" s="521"/>
      <c r="M124" s="521"/>
      <c r="N124" s="521"/>
      <c r="O124" s="521"/>
      <c r="P124" s="521"/>
      <c r="Q124" s="521"/>
      <c r="R124" s="564">
        <f>-R184</f>
        <v>0</v>
      </c>
      <c r="S124" s="564"/>
      <c r="T124" s="565"/>
      <c r="U124" s="523"/>
      <c r="V124" s="506"/>
    </row>
    <row r="125" spans="1:22" s="507" customFormat="1" x14ac:dyDescent="0.35">
      <c r="A125" s="520"/>
      <c r="B125" s="521" t="s">
        <v>185</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40</v>
      </c>
      <c r="C126" s="521"/>
      <c r="D126" s="521"/>
      <c r="E126" s="521"/>
      <c r="F126" s="521"/>
      <c r="G126" s="521"/>
      <c r="H126" s="521"/>
      <c r="I126" s="521"/>
      <c r="J126" s="521"/>
      <c r="K126" s="521"/>
      <c r="L126" s="521"/>
      <c r="M126" s="521"/>
      <c r="N126" s="521"/>
      <c r="O126" s="521"/>
      <c r="P126" s="521"/>
      <c r="Q126" s="521"/>
      <c r="R126" s="564">
        <f>-Q184</f>
        <v>0</v>
      </c>
      <c r="S126" s="564"/>
      <c r="T126" s="565"/>
      <c r="U126" s="523"/>
      <c r="V126" s="506"/>
    </row>
    <row r="127" spans="1:22" s="507" customFormat="1" x14ac:dyDescent="0.35">
      <c r="A127" s="520"/>
      <c r="B127" s="521" t="s">
        <v>377</v>
      </c>
      <c r="C127" s="521"/>
      <c r="D127" s="521"/>
      <c r="E127" s="521"/>
      <c r="F127" s="521"/>
      <c r="G127" s="521"/>
      <c r="H127" s="521"/>
      <c r="I127" s="521"/>
      <c r="J127" s="521"/>
      <c r="K127" s="521"/>
      <c r="L127" s="521"/>
      <c r="M127" s="521"/>
      <c r="N127" s="521"/>
      <c r="O127" s="521"/>
      <c r="P127" s="521"/>
      <c r="Q127" s="521"/>
      <c r="R127" s="564">
        <v>0</v>
      </c>
      <c r="S127" s="564"/>
      <c r="T127" s="565"/>
      <c r="U127" s="523"/>
      <c r="V127" s="506"/>
    </row>
    <row r="128" spans="1:22" s="507" customFormat="1" x14ac:dyDescent="0.35">
      <c r="A128" s="520"/>
      <c r="B128" s="521" t="s">
        <v>229</v>
      </c>
      <c r="C128" s="521"/>
      <c r="D128" s="521"/>
      <c r="E128" s="521"/>
      <c r="F128" s="521"/>
      <c r="G128" s="521"/>
      <c r="H128" s="521"/>
      <c r="I128" s="521"/>
      <c r="J128" s="521"/>
      <c r="K128" s="521"/>
      <c r="L128" s="521"/>
      <c r="M128" s="521"/>
      <c r="N128" s="521"/>
      <c r="O128" s="521"/>
      <c r="P128" s="521"/>
      <c r="Q128" s="521"/>
      <c r="R128" s="564">
        <v>-1995</v>
      </c>
      <c r="S128" s="564"/>
      <c r="T128" s="565"/>
      <c r="U128" s="523"/>
      <c r="V128" s="506"/>
    </row>
    <row r="129" spans="1:22" s="507" customFormat="1" x14ac:dyDescent="0.35">
      <c r="A129" s="520"/>
      <c r="B129" s="521" t="s">
        <v>228</v>
      </c>
      <c r="C129" s="521"/>
      <c r="D129" s="521"/>
      <c r="E129" s="521"/>
      <c r="F129" s="521"/>
      <c r="G129" s="521"/>
      <c r="H129" s="521"/>
      <c r="I129" s="521"/>
      <c r="J129" s="521"/>
      <c r="K129" s="521"/>
      <c r="L129" s="521"/>
      <c r="M129" s="521"/>
      <c r="N129" s="521"/>
      <c r="O129" s="521"/>
      <c r="P129" s="521"/>
      <c r="Q129" s="521"/>
      <c r="R129" s="564">
        <v>-2850</v>
      </c>
      <c r="S129" s="564"/>
      <c r="T129" s="565"/>
      <c r="U129" s="523"/>
      <c r="V129" s="506"/>
    </row>
    <row r="130" spans="1:22" s="507" customFormat="1" x14ac:dyDescent="0.35">
      <c r="A130" s="520"/>
      <c r="B130" s="521" t="s">
        <v>221</v>
      </c>
      <c r="C130" s="521"/>
      <c r="D130" s="521"/>
      <c r="E130" s="521"/>
      <c r="F130" s="521"/>
      <c r="G130" s="521"/>
      <c r="H130" s="521"/>
      <c r="I130" s="521"/>
      <c r="J130" s="521"/>
      <c r="K130" s="521"/>
      <c r="L130" s="521"/>
      <c r="M130" s="521"/>
      <c r="N130" s="521"/>
      <c r="O130" s="521"/>
      <c r="P130" s="521"/>
      <c r="Q130" s="521"/>
      <c r="R130" s="564">
        <v>-390</v>
      </c>
      <c r="S130" s="564"/>
      <c r="T130" s="565"/>
      <c r="U130" s="523"/>
      <c r="V130" s="506"/>
    </row>
    <row r="131" spans="1:22" s="507" customFormat="1" x14ac:dyDescent="0.35">
      <c r="A131" s="520"/>
      <c r="B131" s="521" t="s">
        <v>220</v>
      </c>
      <c r="C131" s="521"/>
      <c r="D131" s="521"/>
      <c r="E131" s="521"/>
      <c r="F131" s="521"/>
      <c r="G131" s="521"/>
      <c r="H131" s="521"/>
      <c r="I131" s="521"/>
      <c r="J131" s="521"/>
      <c r="K131" s="521"/>
      <c r="L131" s="521"/>
      <c r="M131" s="521"/>
      <c r="N131" s="521"/>
      <c r="O131" s="521"/>
      <c r="P131" s="521"/>
      <c r="Q131" s="521"/>
      <c r="R131" s="564">
        <v>-166</v>
      </c>
      <c r="S131" s="564"/>
      <c r="T131" s="565"/>
      <c r="U131" s="523"/>
      <c r="V131" s="506"/>
    </row>
    <row r="132" spans="1:22" s="507" customFormat="1" x14ac:dyDescent="0.35">
      <c r="A132" s="520"/>
      <c r="B132" s="521" t="s">
        <v>219</v>
      </c>
      <c r="C132" s="521"/>
      <c r="D132" s="521"/>
      <c r="E132" s="521"/>
      <c r="F132" s="521"/>
      <c r="G132" s="521"/>
      <c r="H132" s="521"/>
      <c r="I132" s="521"/>
      <c r="J132" s="521"/>
      <c r="K132" s="521"/>
      <c r="L132" s="521"/>
      <c r="M132" s="521"/>
      <c r="N132" s="521"/>
      <c r="O132" s="521"/>
      <c r="P132" s="521"/>
      <c r="Q132" s="521"/>
      <c r="R132" s="564">
        <v>-648</v>
      </c>
      <c r="S132" s="564"/>
      <c r="T132" s="565"/>
      <c r="U132" s="523"/>
      <c r="V132" s="506"/>
    </row>
    <row r="133" spans="1:22" s="507" customFormat="1" x14ac:dyDescent="0.35">
      <c r="A133" s="520"/>
      <c r="B133" s="521" t="s">
        <v>218</v>
      </c>
      <c r="C133" s="521"/>
      <c r="D133" s="521"/>
      <c r="E133" s="521"/>
      <c r="F133" s="521"/>
      <c r="G133" s="521"/>
      <c r="H133" s="521"/>
      <c r="I133" s="521"/>
      <c r="J133" s="521"/>
      <c r="K133" s="521"/>
      <c r="L133" s="521"/>
      <c r="M133" s="521"/>
      <c r="N133" s="521"/>
      <c r="O133" s="521"/>
      <c r="P133" s="521"/>
      <c r="Q133" s="521"/>
      <c r="R133" s="564">
        <v>-234</v>
      </c>
      <c r="S133" s="564"/>
      <c r="T133" s="565"/>
      <c r="U133" s="523"/>
      <c r="V133" s="506"/>
    </row>
    <row r="134" spans="1:22" s="507" customFormat="1" x14ac:dyDescent="0.35">
      <c r="A134" s="520"/>
      <c r="B134" s="521" t="s">
        <v>41</v>
      </c>
      <c r="C134" s="521"/>
      <c r="D134" s="521"/>
      <c r="E134" s="521"/>
      <c r="F134" s="521"/>
      <c r="G134" s="521"/>
      <c r="H134" s="521"/>
      <c r="I134" s="521"/>
      <c r="J134" s="521"/>
      <c r="K134" s="521"/>
      <c r="L134" s="521"/>
      <c r="M134" s="521"/>
      <c r="N134" s="521"/>
      <c r="O134" s="521"/>
      <c r="P134" s="521"/>
      <c r="Q134" s="521"/>
      <c r="R134" s="564">
        <f>SUM(R124:R133)</f>
        <v>-6283</v>
      </c>
      <c r="S134" s="564"/>
      <c r="T134" s="564">
        <f>SUM(T100:T132)</f>
        <v>-2585</v>
      </c>
      <c r="U134" s="523"/>
      <c r="V134" s="506"/>
    </row>
    <row r="135" spans="1:22" s="507" customFormat="1" x14ac:dyDescent="0.35">
      <c r="A135" s="520"/>
      <c r="B135" s="521" t="s">
        <v>42</v>
      </c>
      <c r="C135" s="521"/>
      <c r="D135" s="521"/>
      <c r="E135" s="521"/>
      <c r="F135" s="521"/>
      <c r="G135" s="521"/>
      <c r="H135" s="521"/>
      <c r="I135" s="521"/>
      <c r="J135" s="521"/>
      <c r="K135" s="521"/>
      <c r="L135" s="521"/>
      <c r="M135" s="521"/>
      <c r="N135" s="521"/>
      <c r="O135" s="521"/>
      <c r="P135" s="521"/>
      <c r="Q135" s="521"/>
      <c r="R135" s="564">
        <f>R99+R134+R114</f>
        <v>0</v>
      </c>
      <c r="S135" s="564"/>
      <c r="T135" s="564">
        <f>T99+T134</f>
        <v>0</v>
      </c>
      <c r="U135" s="523"/>
      <c r="V135" s="506"/>
    </row>
    <row r="136" spans="1:22" s="507" customFormat="1" x14ac:dyDescent="0.35">
      <c r="A136" s="508"/>
      <c r="B136" s="554"/>
      <c r="C136" s="554"/>
      <c r="D136" s="554"/>
      <c r="E136" s="554"/>
      <c r="F136" s="554"/>
      <c r="G136" s="554"/>
      <c r="H136" s="554"/>
      <c r="I136" s="554"/>
      <c r="J136" s="554"/>
      <c r="K136" s="554"/>
      <c r="L136" s="554"/>
      <c r="M136" s="554"/>
      <c r="N136" s="554"/>
      <c r="O136" s="554"/>
      <c r="P136" s="554"/>
      <c r="Q136" s="554"/>
      <c r="R136" s="571"/>
      <c r="S136" s="571"/>
      <c r="T136" s="571"/>
      <c r="U136" s="554"/>
      <c r="V136" s="506"/>
    </row>
    <row r="137" spans="1:22" s="507" customFormat="1" x14ac:dyDescent="0.35">
      <c r="A137" s="508"/>
      <c r="B137" s="509"/>
      <c r="C137" s="509"/>
      <c r="D137" s="509"/>
      <c r="E137" s="509"/>
      <c r="F137" s="509"/>
      <c r="G137" s="509"/>
      <c r="H137" s="509"/>
      <c r="I137" s="509"/>
      <c r="J137" s="509"/>
      <c r="K137" s="509"/>
      <c r="L137" s="509"/>
      <c r="M137" s="509"/>
      <c r="N137" s="509"/>
      <c r="O137" s="509"/>
      <c r="P137" s="509"/>
      <c r="Q137" s="509"/>
      <c r="R137" s="509"/>
      <c r="S137" s="509"/>
      <c r="T137" s="572"/>
      <c r="U137" s="509"/>
      <c r="V137" s="506"/>
    </row>
    <row r="138" spans="1:22" s="507" customFormat="1" ht="19" thickBot="1" x14ac:dyDescent="0.5">
      <c r="A138" s="559"/>
      <c r="B138" s="560" t="str">
        <f>B63</f>
        <v>PM10 INVESTOR REPORT QUARTER ENDING AUGUST 2019</v>
      </c>
      <c r="C138" s="561"/>
      <c r="D138" s="561"/>
      <c r="E138" s="561"/>
      <c r="F138" s="561"/>
      <c r="G138" s="561"/>
      <c r="H138" s="561"/>
      <c r="I138" s="561"/>
      <c r="J138" s="561"/>
      <c r="K138" s="561"/>
      <c r="L138" s="561"/>
      <c r="M138" s="561"/>
      <c r="N138" s="561"/>
      <c r="O138" s="561"/>
      <c r="P138" s="561"/>
      <c r="Q138" s="561"/>
      <c r="R138" s="561"/>
      <c r="S138" s="561"/>
      <c r="T138" s="573"/>
      <c r="U138" s="563"/>
      <c r="V138" s="506"/>
    </row>
    <row r="139" spans="1:22" x14ac:dyDescent="0.35">
      <c r="A139" s="615"/>
      <c r="B139" s="616" t="s">
        <v>43</v>
      </c>
      <c r="C139" s="617"/>
      <c r="D139" s="617"/>
      <c r="E139" s="617"/>
      <c r="F139" s="617"/>
      <c r="G139" s="617"/>
      <c r="H139" s="617"/>
      <c r="I139" s="617"/>
      <c r="J139" s="617"/>
      <c r="K139" s="617"/>
      <c r="L139" s="617"/>
      <c r="M139" s="617"/>
      <c r="N139" s="617"/>
      <c r="O139" s="617"/>
      <c r="P139" s="617"/>
      <c r="Q139" s="617"/>
      <c r="R139" s="617"/>
      <c r="S139" s="617"/>
      <c r="T139" s="618"/>
      <c r="U139" s="617"/>
      <c r="V139" s="405"/>
    </row>
    <row r="140" spans="1:22" x14ac:dyDescent="0.35">
      <c r="A140" s="407"/>
      <c r="B140" s="436"/>
      <c r="C140" s="409"/>
      <c r="D140" s="409"/>
      <c r="E140" s="409"/>
      <c r="F140" s="409"/>
      <c r="G140" s="409"/>
      <c r="H140" s="409"/>
      <c r="I140" s="409"/>
      <c r="J140" s="409"/>
      <c r="K140" s="409"/>
      <c r="L140" s="409"/>
      <c r="M140" s="409"/>
      <c r="N140" s="409"/>
      <c r="O140" s="409"/>
      <c r="P140" s="409"/>
      <c r="Q140" s="409"/>
      <c r="R140" s="409"/>
      <c r="S140" s="409"/>
      <c r="T140" s="425"/>
      <c r="U140" s="409"/>
      <c r="V140" s="405"/>
    </row>
    <row r="141" spans="1:22" x14ac:dyDescent="0.35">
      <c r="A141" s="407"/>
      <c r="B141" s="480" t="s">
        <v>44</v>
      </c>
      <c r="C141" s="409"/>
      <c r="D141" s="409"/>
      <c r="E141" s="409"/>
      <c r="F141" s="409"/>
      <c r="G141" s="409"/>
      <c r="H141" s="409"/>
      <c r="I141" s="409"/>
      <c r="J141" s="409"/>
      <c r="K141" s="409"/>
      <c r="L141" s="409"/>
      <c r="M141" s="409"/>
      <c r="N141" s="409"/>
      <c r="O141" s="409"/>
      <c r="P141" s="409"/>
      <c r="Q141" s="409"/>
      <c r="R141" s="409"/>
      <c r="S141" s="409"/>
      <c r="T141" s="425"/>
      <c r="U141" s="409"/>
      <c r="V141" s="405"/>
    </row>
    <row r="142" spans="1:22" s="507" customFormat="1" x14ac:dyDescent="0.35">
      <c r="A142" s="520"/>
      <c r="B142" s="521" t="s">
        <v>45</v>
      </c>
      <c r="C142" s="521"/>
      <c r="D142" s="521"/>
      <c r="E142" s="521"/>
      <c r="F142" s="521"/>
      <c r="G142" s="521"/>
      <c r="H142" s="521"/>
      <c r="I142" s="521"/>
      <c r="J142" s="521"/>
      <c r="K142" s="521"/>
      <c r="L142" s="521"/>
      <c r="M142" s="521"/>
      <c r="N142" s="521"/>
      <c r="O142" s="521"/>
      <c r="P142" s="521"/>
      <c r="Q142" s="521"/>
      <c r="R142" s="521"/>
      <c r="S142" s="521"/>
      <c r="T142" s="565">
        <f>+T34*0.0186</f>
        <v>18606.565799999997</v>
      </c>
      <c r="U142" s="523"/>
      <c r="V142" s="506"/>
    </row>
    <row r="143" spans="1:22" s="507" customFormat="1" x14ac:dyDescent="0.35">
      <c r="A143" s="520"/>
      <c r="B143" s="521" t="s">
        <v>46</v>
      </c>
      <c r="C143" s="521"/>
      <c r="D143" s="521"/>
      <c r="E143" s="521"/>
      <c r="F143" s="521"/>
      <c r="G143" s="521"/>
      <c r="H143" s="521"/>
      <c r="I143" s="521"/>
      <c r="J143" s="521"/>
      <c r="K143" s="521"/>
      <c r="L143" s="521"/>
      <c r="M143" s="521"/>
      <c r="N143" s="521"/>
      <c r="O143" s="521"/>
      <c r="P143" s="521"/>
      <c r="Q143" s="521"/>
      <c r="R143" s="521"/>
      <c r="S143" s="521"/>
      <c r="T143" s="565">
        <v>18607</v>
      </c>
      <c r="U143" s="523"/>
      <c r="V143" s="506"/>
    </row>
    <row r="144" spans="1:22" s="507" customFormat="1" x14ac:dyDescent="0.35">
      <c r="A144" s="520"/>
      <c r="B144" s="521" t="s">
        <v>143</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130</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131</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186</v>
      </c>
      <c r="C147" s="521"/>
      <c r="D147" s="521"/>
      <c r="E147" s="521"/>
      <c r="F147" s="521"/>
      <c r="G147" s="521"/>
      <c r="H147" s="521"/>
      <c r="I147" s="521"/>
      <c r="J147" s="521"/>
      <c r="K147" s="521"/>
      <c r="L147" s="521"/>
      <c r="M147" s="521"/>
      <c r="N147" s="521"/>
      <c r="O147" s="521"/>
      <c r="P147" s="521"/>
      <c r="Q147" s="521"/>
      <c r="R147" s="521"/>
      <c r="S147" s="521"/>
      <c r="T147" s="565">
        <v>0</v>
      </c>
      <c r="U147" s="523"/>
      <c r="V147" s="506"/>
    </row>
    <row r="148" spans="1:23" s="507" customFormat="1" x14ac:dyDescent="0.35">
      <c r="A148" s="520"/>
      <c r="B148" s="521" t="s">
        <v>47</v>
      </c>
      <c r="C148" s="521"/>
      <c r="D148" s="521"/>
      <c r="E148" s="521"/>
      <c r="F148" s="521"/>
      <c r="G148" s="521"/>
      <c r="H148" s="521"/>
      <c r="I148" s="521"/>
      <c r="J148" s="521"/>
      <c r="K148" s="521"/>
      <c r="L148" s="521"/>
      <c r="M148" s="521"/>
      <c r="N148" s="521"/>
      <c r="O148" s="521"/>
      <c r="P148" s="521"/>
      <c r="Q148" s="521"/>
      <c r="R148" s="521"/>
      <c r="S148" s="521"/>
      <c r="T148" s="565">
        <v>0</v>
      </c>
      <c r="U148" s="523"/>
      <c r="V148" s="506"/>
    </row>
    <row r="149" spans="1:23" s="507" customFormat="1" x14ac:dyDescent="0.35">
      <c r="A149" s="520"/>
      <c r="B149" s="521" t="s">
        <v>136</v>
      </c>
      <c r="C149" s="521"/>
      <c r="D149" s="521"/>
      <c r="E149" s="521"/>
      <c r="F149" s="521"/>
      <c r="G149" s="521"/>
      <c r="H149" s="521"/>
      <c r="I149" s="521"/>
      <c r="J149" s="521"/>
      <c r="K149" s="521"/>
      <c r="L149" s="521"/>
      <c r="M149" s="521"/>
      <c r="N149" s="521"/>
      <c r="O149" s="521"/>
      <c r="P149" s="521"/>
      <c r="Q149" s="521"/>
      <c r="R149" s="521"/>
      <c r="S149" s="521"/>
      <c r="T149" s="565">
        <v>0</v>
      </c>
      <c r="U149" s="523"/>
      <c r="V149" s="506"/>
    </row>
    <row r="150" spans="1:23" s="507" customFormat="1" x14ac:dyDescent="0.35">
      <c r="A150" s="520"/>
      <c r="B150" s="521" t="s">
        <v>222</v>
      </c>
      <c r="C150" s="521"/>
      <c r="D150" s="521"/>
      <c r="E150" s="521"/>
      <c r="F150" s="521"/>
      <c r="G150" s="521"/>
      <c r="H150" s="521"/>
      <c r="I150" s="521"/>
      <c r="J150" s="521"/>
      <c r="K150" s="521"/>
      <c r="L150" s="521"/>
      <c r="M150" s="521"/>
      <c r="N150" s="521"/>
      <c r="O150" s="521"/>
      <c r="P150" s="521"/>
      <c r="Q150" s="521"/>
      <c r="R150" s="521"/>
      <c r="S150" s="521"/>
      <c r="T150" s="565">
        <v>0</v>
      </c>
      <c r="U150" s="523"/>
      <c r="V150" s="506"/>
      <c r="W150" s="570"/>
    </row>
    <row r="151" spans="1:23" s="507" customFormat="1" x14ac:dyDescent="0.35">
      <c r="A151" s="520"/>
      <c r="B151" s="521" t="s">
        <v>48</v>
      </c>
      <c r="C151" s="521"/>
      <c r="D151" s="521"/>
      <c r="E151" s="521"/>
      <c r="F151" s="521"/>
      <c r="G151" s="521"/>
      <c r="H151" s="521"/>
      <c r="I151" s="521"/>
      <c r="J151" s="521"/>
      <c r="K151" s="521"/>
      <c r="L151" s="521"/>
      <c r="M151" s="521"/>
      <c r="N151" s="521"/>
      <c r="O151" s="521"/>
      <c r="P151" s="521"/>
      <c r="Q151" s="521"/>
      <c r="R151" s="521"/>
      <c r="S151" s="521"/>
      <c r="T151" s="565">
        <f>SUM(T143:T150)</f>
        <v>18607</v>
      </c>
      <c r="U151" s="523"/>
      <c r="V151" s="506"/>
    </row>
    <row r="152" spans="1:23" x14ac:dyDescent="0.35">
      <c r="A152" s="420"/>
      <c r="B152" s="421"/>
      <c r="C152" s="421"/>
      <c r="D152" s="421"/>
      <c r="E152" s="421"/>
      <c r="F152" s="421"/>
      <c r="G152" s="421"/>
      <c r="H152" s="421"/>
      <c r="I152" s="421"/>
      <c r="J152" s="421"/>
      <c r="K152" s="421"/>
      <c r="L152" s="421"/>
      <c r="M152" s="421"/>
      <c r="N152" s="421"/>
      <c r="O152" s="421"/>
      <c r="P152" s="421"/>
      <c r="Q152" s="421"/>
      <c r="R152" s="421"/>
      <c r="S152" s="421"/>
      <c r="T152" s="433"/>
      <c r="U152" s="422"/>
      <c r="V152" s="405"/>
    </row>
    <row r="153" spans="1:23" x14ac:dyDescent="0.35">
      <c r="A153" s="420"/>
      <c r="B153" s="483" t="s">
        <v>266</v>
      </c>
      <c r="C153" s="421"/>
      <c r="D153" s="421"/>
      <c r="E153" s="421"/>
      <c r="F153" s="421"/>
      <c r="G153" s="421"/>
      <c r="H153" s="421"/>
      <c r="I153" s="421"/>
      <c r="J153" s="421"/>
      <c r="K153" s="421"/>
      <c r="L153" s="421"/>
      <c r="M153" s="421"/>
      <c r="N153" s="421"/>
      <c r="O153" s="421"/>
      <c r="P153" s="421"/>
      <c r="Q153" s="421"/>
      <c r="R153" s="421"/>
      <c r="S153" s="421"/>
      <c r="T153" s="433"/>
      <c r="U153" s="422"/>
      <c r="V153" s="405"/>
    </row>
    <row r="154" spans="1:23" s="507" customFormat="1" x14ac:dyDescent="0.35">
      <c r="A154" s="520"/>
      <c r="B154" s="521" t="s">
        <v>163</v>
      </c>
      <c r="C154" s="521"/>
      <c r="D154" s="521"/>
      <c r="E154" s="521"/>
      <c r="F154" s="521"/>
      <c r="G154" s="521"/>
      <c r="H154" s="521"/>
      <c r="I154" s="521"/>
      <c r="J154" s="521"/>
      <c r="K154" s="521"/>
      <c r="L154" s="521"/>
      <c r="M154" s="521"/>
      <c r="N154" s="521"/>
      <c r="O154" s="521"/>
      <c r="P154" s="521"/>
      <c r="Q154" s="521"/>
      <c r="R154" s="521"/>
      <c r="S154" s="521"/>
      <c r="T154" s="565">
        <v>5750</v>
      </c>
      <c r="U154" s="523"/>
      <c r="V154" s="506"/>
    </row>
    <row r="155" spans="1:23" s="507" customFormat="1" x14ac:dyDescent="0.35">
      <c r="A155" s="520"/>
      <c r="B155" s="521" t="s">
        <v>264</v>
      </c>
      <c r="C155" s="521"/>
      <c r="D155" s="521"/>
      <c r="E155" s="521"/>
      <c r="F155" s="521"/>
      <c r="G155" s="521"/>
      <c r="H155" s="521"/>
      <c r="I155" s="521"/>
      <c r="J155" s="521"/>
      <c r="K155" s="521"/>
      <c r="L155" s="521"/>
      <c r="M155" s="521"/>
      <c r="N155" s="521"/>
      <c r="O155" s="521"/>
      <c r="P155" s="521"/>
      <c r="Q155" s="521"/>
      <c r="R155" s="521"/>
      <c r="S155" s="521"/>
      <c r="T155" s="565">
        <v>0</v>
      </c>
      <c r="U155" s="523"/>
      <c r="V155" s="506"/>
    </row>
    <row r="156" spans="1:23" s="507" customFormat="1" x14ac:dyDescent="0.35">
      <c r="A156" s="520"/>
      <c r="B156" s="521" t="s">
        <v>183</v>
      </c>
      <c r="C156" s="521"/>
      <c r="D156" s="521"/>
      <c r="E156" s="521"/>
      <c r="F156" s="521"/>
      <c r="G156" s="521"/>
      <c r="H156" s="521"/>
      <c r="I156" s="521"/>
      <c r="J156" s="521"/>
      <c r="K156" s="521"/>
      <c r="L156" s="521"/>
      <c r="M156" s="521"/>
      <c r="N156" s="521"/>
      <c r="O156" s="521"/>
      <c r="P156" s="521"/>
      <c r="Q156" s="521"/>
      <c r="R156" s="521"/>
      <c r="S156" s="521"/>
      <c r="T156" s="565">
        <v>0</v>
      </c>
      <c r="U156" s="523"/>
      <c r="V156" s="506"/>
    </row>
    <row r="157" spans="1:23" s="507" customFormat="1" x14ac:dyDescent="0.35">
      <c r="A157" s="520"/>
      <c r="B157" s="521" t="s">
        <v>335</v>
      </c>
      <c r="C157" s="521"/>
      <c r="D157" s="521"/>
      <c r="E157" s="521"/>
      <c r="F157" s="521"/>
      <c r="G157" s="521"/>
      <c r="H157" s="521"/>
      <c r="I157" s="521"/>
      <c r="J157" s="521"/>
      <c r="K157" s="521"/>
      <c r="L157" s="521"/>
      <c r="M157" s="521"/>
      <c r="N157" s="521"/>
      <c r="O157" s="521"/>
      <c r="P157" s="521"/>
      <c r="Q157" s="521"/>
      <c r="R157" s="521"/>
      <c r="S157" s="521"/>
      <c r="T157" s="565">
        <v>0</v>
      </c>
      <c r="U157" s="523"/>
      <c r="V157" s="506"/>
    </row>
    <row r="158" spans="1:23" x14ac:dyDescent="0.35">
      <c r="A158" s="420"/>
      <c r="B158" s="421"/>
      <c r="C158" s="421"/>
      <c r="D158" s="421"/>
      <c r="E158" s="421"/>
      <c r="F158" s="421"/>
      <c r="G158" s="421"/>
      <c r="H158" s="421"/>
      <c r="I158" s="421"/>
      <c r="J158" s="421"/>
      <c r="K158" s="421"/>
      <c r="L158" s="421"/>
      <c r="M158" s="421"/>
      <c r="N158" s="421"/>
      <c r="O158" s="421"/>
      <c r="P158" s="421"/>
      <c r="Q158" s="421"/>
      <c r="R158" s="421"/>
      <c r="S158" s="421"/>
      <c r="T158" s="433"/>
      <c r="U158" s="422"/>
      <c r="V158" s="405"/>
    </row>
    <row r="159" spans="1:23" x14ac:dyDescent="0.35">
      <c r="A159" s="407"/>
      <c r="B159" s="427"/>
      <c r="C159" s="427"/>
      <c r="D159" s="427"/>
      <c r="E159" s="427"/>
      <c r="F159" s="427"/>
      <c r="G159" s="427"/>
      <c r="H159" s="427"/>
      <c r="I159" s="427"/>
      <c r="J159" s="427"/>
      <c r="K159" s="427"/>
      <c r="L159" s="427"/>
      <c r="M159" s="427"/>
      <c r="N159" s="427"/>
      <c r="O159" s="427"/>
      <c r="P159" s="427"/>
      <c r="Q159" s="427"/>
      <c r="R159" s="427"/>
      <c r="S159" s="427"/>
      <c r="T159" s="437"/>
      <c r="U159" s="427"/>
      <c r="V159" s="405"/>
    </row>
    <row r="160" spans="1:23" x14ac:dyDescent="0.35">
      <c r="A160" s="407"/>
      <c r="B160" s="480" t="s">
        <v>24</v>
      </c>
      <c r="C160" s="409"/>
      <c r="D160" s="409"/>
      <c r="E160" s="409"/>
      <c r="F160" s="409"/>
      <c r="G160" s="409"/>
      <c r="H160" s="409"/>
      <c r="I160" s="409"/>
      <c r="J160" s="409"/>
      <c r="K160" s="409"/>
      <c r="L160" s="409"/>
      <c r="M160" s="409"/>
      <c r="N160" s="409"/>
      <c r="O160" s="409"/>
      <c r="P160" s="409"/>
      <c r="Q160" s="409"/>
      <c r="R160" s="409"/>
      <c r="S160" s="409"/>
      <c r="T160" s="425"/>
      <c r="U160" s="409"/>
      <c r="V160" s="405"/>
    </row>
    <row r="161" spans="1:22" s="507" customFormat="1" x14ac:dyDescent="0.35">
      <c r="A161" s="520"/>
      <c r="B161" s="521" t="s">
        <v>49</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s="507" customFormat="1" x14ac:dyDescent="0.35">
      <c r="A162" s="520"/>
      <c r="B162" s="521" t="s">
        <v>50</v>
      </c>
      <c r="C162" s="521"/>
      <c r="D162" s="521"/>
      <c r="E162" s="521"/>
      <c r="F162" s="521"/>
      <c r="G162" s="521"/>
      <c r="H162" s="521"/>
      <c r="I162" s="521"/>
      <c r="J162" s="521"/>
      <c r="K162" s="521"/>
      <c r="L162" s="521"/>
      <c r="M162" s="521"/>
      <c r="N162" s="521"/>
      <c r="O162" s="521"/>
      <c r="P162" s="521"/>
      <c r="Q162" s="521"/>
      <c r="R162" s="521"/>
      <c r="S162" s="521"/>
      <c r="T162" s="574" t="s">
        <v>125</v>
      </c>
      <c r="U162" s="523"/>
      <c r="V162" s="506"/>
    </row>
    <row r="163" spans="1:22" s="507" customFormat="1" x14ac:dyDescent="0.35">
      <c r="A163" s="520"/>
      <c r="B163" s="521" t="s">
        <v>51</v>
      </c>
      <c r="C163" s="521"/>
      <c r="D163" s="521"/>
      <c r="E163" s="521"/>
      <c r="F163" s="521"/>
      <c r="G163" s="521"/>
      <c r="H163" s="521"/>
      <c r="I163" s="521"/>
      <c r="J163" s="521"/>
      <c r="K163" s="521"/>
      <c r="L163" s="521"/>
      <c r="M163" s="521"/>
      <c r="N163" s="521"/>
      <c r="O163" s="521"/>
      <c r="P163" s="521"/>
      <c r="Q163" s="521"/>
      <c r="R163" s="521"/>
      <c r="S163" s="521"/>
      <c r="T163" s="574" t="s">
        <v>125</v>
      </c>
      <c r="U163" s="523"/>
      <c r="V163" s="506"/>
    </row>
    <row r="164" spans="1:22" s="507" customFormat="1" x14ac:dyDescent="0.35">
      <c r="A164" s="520"/>
      <c r="B164" s="521" t="s">
        <v>52</v>
      </c>
      <c r="C164" s="521"/>
      <c r="D164" s="521"/>
      <c r="E164" s="521"/>
      <c r="F164" s="521"/>
      <c r="G164" s="521"/>
      <c r="H164" s="521"/>
      <c r="I164" s="521"/>
      <c r="J164" s="521"/>
      <c r="K164" s="521"/>
      <c r="L164" s="521"/>
      <c r="M164" s="521"/>
      <c r="N164" s="521"/>
      <c r="O164" s="521"/>
      <c r="P164" s="521"/>
      <c r="Q164" s="521"/>
      <c r="R164" s="521"/>
      <c r="S164" s="521"/>
      <c r="T164" s="574" t="s">
        <v>125</v>
      </c>
      <c r="U164" s="523"/>
      <c r="V164" s="506"/>
    </row>
    <row r="165" spans="1:22" x14ac:dyDescent="0.35">
      <c r="A165" s="407"/>
      <c r="B165" s="427"/>
      <c r="C165" s="427"/>
      <c r="D165" s="427"/>
      <c r="E165" s="427"/>
      <c r="F165" s="427"/>
      <c r="G165" s="427"/>
      <c r="H165" s="427"/>
      <c r="I165" s="427"/>
      <c r="J165" s="427"/>
      <c r="K165" s="427"/>
      <c r="L165" s="427"/>
      <c r="M165" s="427"/>
      <c r="N165" s="427"/>
      <c r="O165" s="427"/>
      <c r="P165" s="427"/>
      <c r="Q165" s="427"/>
      <c r="R165" s="427"/>
      <c r="S165" s="427"/>
      <c r="T165" s="437"/>
      <c r="U165" s="427"/>
      <c r="V165" s="405"/>
    </row>
    <row r="166" spans="1:22" x14ac:dyDescent="0.35">
      <c r="A166" s="407"/>
      <c r="B166" s="480" t="s">
        <v>53</v>
      </c>
      <c r="C166" s="409"/>
      <c r="D166" s="409"/>
      <c r="E166" s="409"/>
      <c r="F166" s="409"/>
      <c r="G166" s="409"/>
      <c r="H166" s="409"/>
      <c r="I166" s="409"/>
      <c r="J166" s="409"/>
      <c r="K166" s="409"/>
      <c r="L166" s="409"/>
      <c r="M166" s="409"/>
      <c r="N166" s="409"/>
      <c r="O166" s="409"/>
      <c r="P166" s="409"/>
      <c r="Q166" s="409"/>
      <c r="R166" s="409"/>
      <c r="S166" s="409"/>
      <c r="T166" s="438"/>
      <c r="U166" s="409"/>
      <c r="V166" s="405"/>
    </row>
    <row r="167" spans="1:22" s="507" customFormat="1" x14ac:dyDescent="0.35">
      <c r="A167" s="520"/>
      <c r="B167" s="521" t="s">
        <v>54</v>
      </c>
      <c r="C167" s="521"/>
      <c r="D167" s="521"/>
      <c r="E167" s="521"/>
      <c r="F167" s="521"/>
      <c r="G167" s="521"/>
      <c r="H167" s="521"/>
      <c r="I167" s="521"/>
      <c r="J167" s="521"/>
      <c r="K167" s="521"/>
      <c r="L167" s="521"/>
      <c r="M167" s="521"/>
      <c r="N167" s="521"/>
      <c r="O167" s="521"/>
      <c r="P167" s="521"/>
      <c r="Q167" s="521"/>
      <c r="R167" s="521"/>
      <c r="S167" s="521"/>
      <c r="T167" s="565">
        <v>0</v>
      </c>
      <c r="U167" s="523"/>
      <c r="V167" s="506"/>
    </row>
    <row r="168" spans="1:22" s="507" customFormat="1" x14ac:dyDescent="0.35">
      <c r="A168" s="520"/>
      <c r="B168" s="521" t="s">
        <v>55</v>
      </c>
      <c r="C168" s="521"/>
      <c r="D168" s="521"/>
      <c r="E168" s="521"/>
      <c r="F168" s="521"/>
      <c r="G168" s="521"/>
      <c r="H168" s="521"/>
      <c r="I168" s="521"/>
      <c r="J168" s="521"/>
      <c r="K168" s="521"/>
      <c r="L168" s="521"/>
      <c r="M168" s="521"/>
      <c r="N168" s="521"/>
      <c r="O168" s="521"/>
      <c r="P168" s="521"/>
      <c r="Q168" s="521"/>
      <c r="R168" s="521"/>
      <c r="S168" s="521"/>
      <c r="T168" s="565">
        <v>314</v>
      </c>
      <c r="U168" s="523"/>
      <c r="V168" s="506"/>
    </row>
    <row r="169" spans="1:22" s="507" customFormat="1" x14ac:dyDescent="0.35">
      <c r="A169" s="520"/>
      <c r="B169" s="521" t="s">
        <v>56</v>
      </c>
      <c r="C169" s="521"/>
      <c r="D169" s="521"/>
      <c r="E169" s="521"/>
      <c r="F169" s="521"/>
      <c r="G169" s="521"/>
      <c r="H169" s="521"/>
      <c r="I169" s="521"/>
      <c r="J169" s="521"/>
      <c r="K169" s="521"/>
      <c r="L169" s="521"/>
      <c r="M169" s="521"/>
      <c r="N169" s="521"/>
      <c r="O169" s="521"/>
      <c r="P169" s="521"/>
      <c r="Q169" s="521"/>
      <c r="R169" s="521"/>
      <c r="S169" s="521"/>
      <c r="T169" s="565">
        <f>T168+T167</f>
        <v>314</v>
      </c>
      <c r="U169" s="523"/>
      <c r="V169" s="506"/>
    </row>
    <row r="170" spans="1:22" s="507" customFormat="1" x14ac:dyDescent="0.35">
      <c r="A170" s="520"/>
      <c r="B170" s="521" t="s">
        <v>314</v>
      </c>
      <c r="C170" s="521"/>
      <c r="D170" s="521"/>
      <c r="E170" s="521"/>
      <c r="F170" s="521"/>
      <c r="G170" s="521"/>
      <c r="H170" s="521"/>
      <c r="I170" s="521"/>
      <c r="J170" s="521"/>
      <c r="K170" s="521"/>
      <c r="L170" s="521"/>
      <c r="M170" s="521"/>
      <c r="N170" s="521"/>
      <c r="O170" s="521"/>
      <c r="P170" s="521"/>
      <c r="Q170" s="521"/>
      <c r="R170" s="521"/>
      <c r="S170" s="521"/>
      <c r="T170" s="565">
        <f>T114</f>
        <v>-314</v>
      </c>
      <c r="U170" s="523"/>
      <c r="V170" s="506"/>
    </row>
    <row r="171" spans="1:22" s="507" customFormat="1" x14ac:dyDescent="0.35">
      <c r="A171" s="520"/>
      <c r="B171" s="521" t="s">
        <v>57</v>
      </c>
      <c r="C171" s="521"/>
      <c r="D171" s="521"/>
      <c r="E171" s="521"/>
      <c r="F171" s="521"/>
      <c r="G171" s="521"/>
      <c r="H171" s="521"/>
      <c r="I171" s="521"/>
      <c r="J171" s="521"/>
      <c r="K171" s="521"/>
      <c r="L171" s="521"/>
      <c r="M171" s="521"/>
      <c r="N171" s="521"/>
      <c r="O171" s="521"/>
      <c r="P171" s="521"/>
      <c r="Q171" s="521"/>
      <c r="R171" s="521"/>
      <c r="S171" s="521"/>
      <c r="T171" s="565">
        <f>T169+T170</f>
        <v>0</v>
      </c>
      <c r="U171" s="523"/>
      <c r="V171" s="506"/>
    </row>
    <row r="172" spans="1:22" s="507" customFormat="1" x14ac:dyDescent="0.35">
      <c r="A172" s="520"/>
      <c r="B172" s="521" t="s">
        <v>285</v>
      </c>
      <c r="C172" s="521"/>
      <c r="D172" s="521"/>
      <c r="E172" s="521"/>
      <c r="F172" s="521"/>
      <c r="G172" s="521"/>
      <c r="H172" s="521"/>
      <c r="I172" s="521"/>
      <c r="J172" s="521"/>
      <c r="K172" s="521"/>
      <c r="L172" s="521"/>
      <c r="M172" s="521"/>
      <c r="N172" s="521"/>
      <c r="O172" s="521"/>
      <c r="P172" s="521"/>
      <c r="Q172" s="521"/>
      <c r="R172" s="521"/>
      <c r="S172" s="521"/>
      <c r="T172" s="565">
        <v>0</v>
      </c>
      <c r="U172" s="523"/>
      <c r="V172" s="506"/>
    </row>
    <row r="173" spans="1:22" ht="16" thickBot="1" x14ac:dyDescent="0.4">
      <c r="A173" s="407"/>
      <c r="B173" s="427"/>
      <c r="C173" s="427"/>
      <c r="D173" s="427"/>
      <c r="E173" s="427"/>
      <c r="F173" s="427"/>
      <c r="G173" s="427"/>
      <c r="H173" s="427"/>
      <c r="I173" s="427"/>
      <c r="J173" s="427"/>
      <c r="K173" s="427"/>
      <c r="L173" s="427"/>
      <c r="M173" s="427"/>
      <c r="N173" s="427"/>
      <c r="O173" s="427"/>
      <c r="P173" s="427"/>
      <c r="Q173" s="427"/>
      <c r="R173" s="427"/>
      <c r="S173" s="427"/>
      <c r="T173" s="437"/>
      <c r="U173" s="427"/>
      <c r="V173" s="405"/>
    </row>
    <row r="174" spans="1:22" x14ac:dyDescent="0.35">
      <c r="A174" s="403"/>
      <c r="B174" s="404"/>
      <c r="C174" s="404"/>
      <c r="D174" s="404"/>
      <c r="E174" s="404"/>
      <c r="F174" s="404"/>
      <c r="G174" s="404"/>
      <c r="H174" s="404"/>
      <c r="I174" s="404"/>
      <c r="J174" s="404"/>
      <c r="K174" s="404"/>
      <c r="L174" s="404"/>
      <c r="M174" s="404"/>
      <c r="N174" s="404"/>
      <c r="O174" s="404"/>
      <c r="P174" s="404"/>
      <c r="Q174" s="404"/>
      <c r="R174" s="404"/>
      <c r="S174" s="404"/>
      <c r="T174" s="439"/>
      <c r="U174" s="404"/>
      <c r="V174" s="405"/>
    </row>
    <row r="175" spans="1:22" x14ac:dyDescent="0.35">
      <c r="A175" s="407"/>
      <c r="B175" s="480" t="s">
        <v>58</v>
      </c>
      <c r="C175" s="409"/>
      <c r="D175" s="409"/>
      <c r="E175" s="409"/>
      <c r="F175" s="409"/>
      <c r="G175" s="409"/>
      <c r="H175" s="409"/>
      <c r="I175" s="409"/>
      <c r="J175" s="409"/>
      <c r="K175" s="409"/>
      <c r="L175" s="409"/>
      <c r="M175" s="409"/>
      <c r="N175" s="409"/>
      <c r="O175" s="409"/>
      <c r="P175" s="409"/>
      <c r="Q175" s="409"/>
      <c r="R175" s="409"/>
      <c r="S175" s="409"/>
      <c r="T175" s="425"/>
      <c r="U175" s="409"/>
      <c r="V175" s="405"/>
    </row>
    <row r="176" spans="1:22" x14ac:dyDescent="0.35">
      <c r="A176" s="407"/>
      <c r="B176" s="436"/>
      <c r="C176" s="409"/>
      <c r="D176" s="409"/>
      <c r="E176" s="409"/>
      <c r="F176" s="409"/>
      <c r="G176" s="409"/>
      <c r="H176" s="409"/>
      <c r="I176" s="409"/>
      <c r="J176" s="409"/>
      <c r="K176" s="409"/>
      <c r="L176" s="409"/>
      <c r="M176" s="409"/>
      <c r="N176" s="409"/>
      <c r="O176" s="409"/>
      <c r="P176" s="409"/>
      <c r="Q176" s="409"/>
      <c r="R176" s="409"/>
      <c r="S176" s="409"/>
      <c r="T176" s="425"/>
      <c r="U176" s="409"/>
      <c r="V176" s="405"/>
    </row>
    <row r="177" spans="1:22" s="507" customFormat="1" x14ac:dyDescent="0.35">
      <c r="A177" s="520"/>
      <c r="B177" s="521" t="s">
        <v>59</v>
      </c>
      <c r="C177" s="521"/>
      <c r="D177" s="521"/>
      <c r="E177" s="521"/>
      <c r="F177" s="521"/>
      <c r="G177" s="521"/>
      <c r="H177" s="521"/>
      <c r="I177" s="521"/>
      <c r="J177" s="521"/>
      <c r="K177" s="521"/>
      <c r="L177" s="521"/>
      <c r="M177" s="521"/>
      <c r="N177" s="521"/>
      <c r="O177" s="521"/>
      <c r="P177" s="521"/>
      <c r="Q177" s="521"/>
      <c r="R177" s="521"/>
      <c r="S177" s="521"/>
      <c r="T177" s="565">
        <f>T70</f>
        <v>322693</v>
      </c>
      <c r="U177" s="523"/>
      <c r="V177" s="506"/>
    </row>
    <row r="178" spans="1:22" s="507" customFormat="1" x14ac:dyDescent="0.35">
      <c r="A178" s="520"/>
      <c r="B178" s="521" t="s">
        <v>60</v>
      </c>
      <c r="C178" s="521"/>
      <c r="D178" s="521"/>
      <c r="E178" s="521"/>
      <c r="F178" s="521"/>
      <c r="G178" s="521"/>
      <c r="H178" s="521"/>
      <c r="I178" s="521"/>
      <c r="J178" s="521"/>
      <c r="K178" s="521"/>
      <c r="L178" s="521"/>
      <c r="M178" s="521"/>
      <c r="N178" s="521"/>
      <c r="O178" s="521"/>
      <c r="P178" s="521"/>
      <c r="Q178" s="521"/>
      <c r="R178" s="521"/>
      <c r="S178" s="521"/>
      <c r="T178" s="565">
        <f>T83</f>
        <v>322693</v>
      </c>
      <c r="U178" s="523"/>
      <c r="V178" s="506"/>
    </row>
    <row r="179" spans="1:22" ht="16" thickBot="1" x14ac:dyDescent="0.4">
      <c r="A179" s="407"/>
      <c r="B179" s="427"/>
      <c r="C179" s="427"/>
      <c r="D179" s="427"/>
      <c r="E179" s="427"/>
      <c r="F179" s="427"/>
      <c r="G179" s="427"/>
      <c r="H179" s="427"/>
      <c r="I179" s="427"/>
      <c r="J179" s="427"/>
      <c r="K179" s="427"/>
      <c r="L179" s="427"/>
      <c r="M179" s="427"/>
      <c r="N179" s="427"/>
      <c r="O179" s="427"/>
      <c r="P179" s="427"/>
      <c r="Q179" s="427"/>
      <c r="R179" s="427"/>
      <c r="S179" s="427"/>
      <c r="T179" s="437"/>
      <c r="U179" s="427"/>
      <c r="V179" s="405"/>
    </row>
    <row r="180" spans="1:22" x14ac:dyDescent="0.35">
      <c r="A180" s="403"/>
      <c r="B180" s="404"/>
      <c r="C180" s="404"/>
      <c r="D180" s="404"/>
      <c r="E180" s="404"/>
      <c r="F180" s="404"/>
      <c r="G180" s="404"/>
      <c r="H180" s="404"/>
      <c r="I180" s="404"/>
      <c r="J180" s="404"/>
      <c r="K180" s="404"/>
      <c r="L180" s="404"/>
      <c r="M180" s="404"/>
      <c r="N180" s="404"/>
      <c r="O180" s="404"/>
      <c r="P180" s="404"/>
      <c r="Q180" s="404"/>
      <c r="R180" s="404"/>
      <c r="S180" s="404"/>
      <c r="T180" s="439"/>
      <c r="U180" s="404"/>
      <c r="V180" s="405"/>
    </row>
    <row r="181" spans="1:22" x14ac:dyDescent="0.35">
      <c r="A181" s="407"/>
      <c r="B181" s="480" t="s">
        <v>61</v>
      </c>
      <c r="C181" s="426"/>
      <c r="D181" s="426"/>
      <c r="E181" s="426"/>
      <c r="F181" s="426"/>
      <c r="G181" s="426"/>
      <c r="H181" s="440"/>
      <c r="I181" s="440"/>
      <c r="J181" s="440"/>
      <c r="K181" s="440"/>
      <c r="L181" s="440"/>
      <c r="M181" s="440"/>
      <c r="N181" s="440"/>
      <c r="O181" s="440"/>
      <c r="P181" s="440"/>
      <c r="Q181" s="481" t="s">
        <v>105</v>
      </c>
      <c r="R181" s="481" t="s">
        <v>187</v>
      </c>
      <c r="S181" s="411"/>
      <c r="T181" s="482" t="s">
        <v>121</v>
      </c>
      <c r="U181" s="441"/>
      <c r="V181" s="405"/>
    </row>
    <row r="182" spans="1:22" s="507" customFormat="1" x14ac:dyDescent="0.35">
      <c r="A182" s="520"/>
      <c r="B182" s="521" t="s">
        <v>62</v>
      </c>
      <c r="C182" s="521"/>
      <c r="D182" s="521"/>
      <c r="E182" s="521"/>
      <c r="F182" s="521"/>
      <c r="G182" s="521"/>
      <c r="H182" s="521"/>
      <c r="I182" s="521"/>
      <c r="J182" s="521"/>
      <c r="K182" s="521"/>
      <c r="L182" s="521"/>
      <c r="M182" s="521"/>
      <c r="N182" s="521"/>
      <c r="O182" s="521"/>
      <c r="P182" s="521"/>
      <c r="Q182" s="565">
        <f>+T34*0.16</f>
        <v>160056.48000000001</v>
      </c>
      <c r="R182" s="543"/>
      <c r="S182" s="521"/>
      <c r="T182" s="565"/>
      <c r="U182" s="523"/>
      <c r="V182" s="506"/>
    </row>
    <row r="183" spans="1:22" s="507" customFormat="1" x14ac:dyDescent="0.35">
      <c r="A183" s="520"/>
      <c r="B183" s="521" t="s">
        <v>63</v>
      </c>
      <c r="C183" s="521"/>
      <c r="D183" s="521"/>
      <c r="E183" s="521"/>
      <c r="F183" s="521"/>
      <c r="G183" s="521"/>
      <c r="H183" s="521"/>
      <c r="I183" s="521"/>
      <c r="J183" s="521"/>
      <c r="K183" s="521"/>
      <c r="L183" s="521"/>
      <c r="M183" s="521"/>
      <c r="N183" s="521"/>
      <c r="O183" s="521"/>
      <c r="P183" s="521"/>
      <c r="Q183" s="565">
        <f>+'May 19'!Q182</f>
        <v>47259</v>
      </c>
      <c r="R183" s="565">
        <f>+'May 19'!R182</f>
        <v>5998</v>
      </c>
      <c r="S183" s="521"/>
      <c r="T183" s="565">
        <f>Q183+R183</f>
        <v>53257</v>
      </c>
      <c r="U183" s="523"/>
      <c r="V183" s="506"/>
    </row>
    <row r="184" spans="1:22" s="507" customFormat="1" x14ac:dyDescent="0.35">
      <c r="A184" s="520"/>
      <c r="B184" s="521" t="s">
        <v>64</v>
      </c>
      <c r="C184" s="521"/>
      <c r="D184" s="521"/>
      <c r="E184" s="521"/>
      <c r="F184" s="521"/>
      <c r="G184" s="521"/>
      <c r="H184" s="521"/>
      <c r="I184" s="521"/>
      <c r="J184" s="521"/>
      <c r="K184" s="521"/>
      <c r="L184" s="521"/>
      <c r="M184" s="521"/>
      <c r="N184" s="521"/>
      <c r="O184" s="521"/>
      <c r="P184" s="521"/>
      <c r="Q184" s="564">
        <v>0</v>
      </c>
      <c r="R184" s="564">
        <v>0</v>
      </c>
      <c r="S184" s="521"/>
      <c r="T184" s="565">
        <f>Q184+R184</f>
        <v>0</v>
      </c>
      <c r="U184" s="523"/>
      <c r="V184" s="506"/>
    </row>
    <row r="185" spans="1:22" s="507" customFormat="1" x14ac:dyDescent="0.35">
      <c r="A185" s="520"/>
      <c r="B185" s="521" t="s">
        <v>65</v>
      </c>
      <c r="C185" s="521"/>
      <c r="D185" s="521"/>
      <c r="E185" s="521"/>
      <c r="F185" s="521"/>
      <c r="G185" s="521"/>
      <c r="H185" s="521"/>
      <c r="I185" s="521"/>
      <c r="J185" s="521"/>
      <c r="K185" s="521"/>
      <c r="L185" s="521"/>
      <c r="M185" s="521"/>
      <c r="N185" s="521"/>
      <c r="O185" s="521"/>
      <c r="P185" s="521"/>
      <c r="Q185" s="565">
        <f>Q183+Q184</f>
        <v>47259</v>
      </c>
      <c r="R185" s="565">
        <f>R184+R183</f>
        <v>5998</v>
      </c>
      <c r="S185" s="521"/>
      <c r="T185" s="565">
        <f>Q185+R185</f>
        <v>53257</v>
      </c>
      <c r="U185" s="523"/>
      <c r="V185" s="506"/>
    </row>
    <row r="186" spans="1:22" s="507" customFormat="1" x14ac:dyDescent="0.35">
      <c r="A186" s="520"/>
      <c r="B186" s="521" t="s">
        <v>66</v>
      </c>
      <c r="C186" s="521"/>
      <c r="D186" s="521"/>
      <c r="E186" s="521"/>
      <c r="F186" s="521"/>
      <c r="G186" s="521"/>
      <c r="H186" s="521"/>
      <c r="I186" s="521"/>
      <c r="J186" s="521"/>
      <c r="K186" s="521"/>
      <c r="L186" s="521"/>
      <c r="M186" s="521"/>
      <c r="N186" s="521"/>
      <c r="O186" s="521"/>
      <c r="P186" s="521"/>
      <c r="Q186" s="565">
        <f>Q182-Q185-R185</f>
        <v>106799.48000000001</v>
      </c>
      <c r="R186" s="543"/>
      <c r="S186" s="521"/>
      <c r="T186" s="565"/>
      <c r="U186" s="523"/>
      <c r="V186" s="506"/>
    </row>
    <row r="187" spans="1:22" ht="16" thickBot="1" x14ac:dyDescent="0.4">
      <c r="A187" s="407"/>
      <c r="B187" s="427"/>
      <c r="C187" s="427"/>
      <c r="D187" s="427"/>
      <c r="E187" s="427"/>
      <c r="F187" s="427"/>
      <c r="G187" s="427"/>
      <c r="H187" s="427"/>
      <c r="I187" s="427"/>
      <c r="J187" s="427"/>
      <c r="K187" s="427"/>
      <c r="L187" s="427"/>
      <c r="M187" s="427"/>
      <c r="N187" s="427"/>
      <c r="O187" s="427"/>
      <c r="P187" s="427"/>
      <c r="Q187" s="427"/>
      <c r="R187" s="427"/>
      <c r="S187" s="427"/>
      <c r="T187" s="437"/>
      <c r="U187" s="427"/>
      <c r="V187" s="405"/>
    </row>
    <row r="188" spans="1:22" x14ac:dyDescent="0.35">
      <c r="A188" s="403"/>
      <c r="B188" s="404"/>
      <c r="C188" s="404"/>
      <c r="D188" s="404"/>
      <c r="E188" s="404"/>
      <c r="F188" s="404"/>
      <c r="G188" s="404"/>
      <c r="H188" s="404"/>
      <c r="I188" s="404"/>
      <c r="J188" s="404"/>
      <c r="K188" s="404"/>
      <c r="L188" s="404"/>
      <c r="M188" s="404"/>
      <c r="N188" s="404"/>
      <c r="O188" s="404"/>
      <c r="P188" s="404"/>
      <c r="Q188" s="404"/>
      <c r="R188" s="404"/>
      <c r="S188" s="404"/>
      <c r="T188" s="439"/>
      <c r="U188" s="404"/>
      <c r="V188" s="405"/>
    </row>
    <row r="189" spans="1:22" x14ac:dyDescent="0.35">
      <c r="A189" s="407"/>
      <c r="B189" s="480" t="s">
        <v>67</v>
      </c>
      <c r="C189" s="409"/>
      <c r="D189" s="409"/>
      <c r="E189" s="409"/>
      <c r="F189" s="409"/>
      <c r="G189" s="409"/>
      <c r="H189" s="409"/>
      <c r="I189" s="409"/>
      <c r="J189" s="409"/>
      <c r="K189" s="409"/>
      <c r="L189" s="409"/>
      <c r="M189" s="409"/>
      <c r="N189" s="409"/>
      <c r="O189" s="409"/>
      <c r="P189" s="409"/>
      <c r="Q189" s="409"/>
      <c r="R189" s="409"/>
      <c r="S189" s="409"/>
      <c r="T189" s="442"/>
      <c r="U189" s="409"/>
      <c r="V189" s="405"/>
    </row>
    <row r="190" spans="1:22" s="507" customFormat="1" x14ac:dyDescent="0.35">
      <c r="A190" s="520"/>
      <c r="B190" s="521" t="s">
        <v>68</v>
      </c>
      <c r="C190" s="521"/>
      <c r="D190" s="521"/>
      <c r="E190" s="521"/>
      <c r="F190" s="521"/>
      <c r="G190" s="521"/>
      <c r="H190" s="521"/>
      <c r="I190" s="521"/>
      <c r="J190" s="521"/>
      <c r="K190" s="521"/>
      <c r="L190" s="521"/>
      <c r="M190" s="521"/>
      <c r="N190" s="521"/>
      <c r="O190" s="521"/>
      <c r="P190" s="521"/>
      <c r="Q190" s="521"/>
      <c r="R190" s="521"/>
      <c r="S190" s="521"/>
      <c r="T190" s="574">
        <f>(T99+T101+T102+T103+T104+T105)/-(T106+T107)</f>
        <v>3.3184357541899443</v>
      </c>
      <c r="U190" s="523" t="s">
        <v>122</v>
      </c>
      <c r="V190" s="506"/>
    </row>
    <row r="191" spans="1:22" s="507" customFormat="1" x14ac:dyDescent="0.35">
      <c r="A191" s="520"/>
      <c r="B191" s="521" t="s">
        <v>69</v>
      </c>
      <c r="C191" s="521"/>
      <c r="D191" s="521"/>
      <c r="E191" s="521"/>
      <c r="F191" s="521"/>
      <c r="G191" s="521"/>
      <c r="H191" s="521"/>
      <c r="I191" s="521"/>
      <c r="J191" s="521"/>
      <c r="K191" s="521"/>
      <c r="L191" s="521"/>
      <c r="M191" s="521"/>
      <c r="N191" s="521"/>
      <c r="O191" s="521"/>
      <c r="P191" s="521"/>
      <c r="Q191" s="521"/>
      <c r="R191" s="521"/>
      <c r="S191" s="521"/>
      <c r="T191" s="575">
        <v>1.81</v>
      </c>
      <c r="U191" s="523" t="s">
        <v>122</v>
      </c>
      <c r="V191" s="506"/>
    </row>
    <row r="192" spans="1:22" s="507" customFormat="1" x14ac:dyDescent="0.35">
      <c r="A192" s="520"/>
      <c r="B192" s="521" t="s">
        <v>70</v>
      </c>
      <c r="C192" s="521"/>
      <c r="D192" s="521"/>
      <c r="E192" s="521"/>
      <c r="F192" s="521"/>
      <c r="G192" s="521"/>
      <c r="H192" s="521"/>
      <c r="I192" s="521"/>
      <c r="J192" s="521"/>
      <c r="K192" s="521"/>
      <c r="L192" s="521"/>
      <c r="M192" s="521"/>
      <c r="N192" s="521"/>
      <c r="O192" s="521"/>
      <c r="P192" s="521"/>
      <c r="Q192" s="521"/>
      <c r="R192" s="521"/>
      <c r="S192" s="521"/>
      <c r="T192" s="574">
        <f>(T99+T101+T102+T103+T104+T105+T106+T107)/-(T108+T109)</f>
        <v>16.938775510204081</v>
      </c>
      <c r="U192" s="523" t="s">
        <v>122</v>
      </c>
      <c r="V192" s="506"/>
    </row>
    <row r="193" spans="1:22" s="507" customFormat="1" x14ac:dyDescent="0.35">
      <c r="A193" s="520"/>
      <c r="B193" s="521" t="s">
        <v>71</v>
      </c>
      <c r="C193" s="521"/>
      <c r="D193" s="521"/>
      <c r="E193" s="521"/>
      <c r="F193" s="521"/>
      <c r="G193" s="521"/>
      <c r="H193" s="521"/>
      <c r="I193" s="521"/>
      <c r="J193" s="521"/>
      <c r="K193" s="521"/>
      <c r="L193" s="521"/>
      <c r="M193" s="521"/>
      <c r="N193" s="521"/>
      <c r="O193" s="521"/>
      <c r="P193" s="521"/>
      <c r="Q193" s="521"/>
      <c r="R193" s="521"/>
      <c r="S193" s="521"/>
      <c r="T193" s="575">
        <v>9.93</v>
      </c>
      <c r="U193" s="523" t="s">
        <v>122</v>
      </c>
      <c r="V193" s="506"/>
    </row>
    <row r="194" spans="1:22" s="507" customFormat="1" x14ac:dyDescent="0.35">
      <c r="A194" s="520"/>
      <c r="B194" s="521" t="s">
        <v>232</v>
      </c>
      <c r="C194" s="521"/>
      <c r="D194" s="521"/>
      <c r="E194" s="521"/>
      <c r="F194" s="521"/>
      <c r="G194" s="521"/>
      <c r="H194" s="521"/>
      <c r="I194" s="521"/>
      <c r="J194" s="521"/>
      <c r="K194" s="521"/>
      <c r="L194" s="521"/>
      <c r="M194" s="521"/>
      <c r="N194" s="521"/>
      <c r="O194" s="521"/>
      <c r="P194" s="521"/>
      <c r="Q194" s="521"/>
      <c r="R194" s="521"/>
      <c r="S194" s="521"/>
      <c r="T194" s="574">
        <f>(T99+T101+T102+T103+T104+T105+T106+T107+T108+T109)/-(T110+T111)</f>
        <v>7.0678733031674206</v>
      </c>
      <c r="U194" s="523" t="s">
        <v>122</v>
      </c>
      <c r="V194" s="506"/>
    </row>
    <row r="195" spans="1:22" s="507" customFormat="1" x14ac:dyDescent="0.35">
      <c r="A195" s="520"/>
      <c r="B195" s="521" t="s">
        <v>233</v>
      </c>
      <c r="C195" s="521"/>
      <c r="D195" s="521"/>
      <c r="E195" s="521"/>
      <c r="F195" s="521"/>
      <c r="G195" s="521"/>
      <c r="H195" s="521"/>
      <c r="I195" s="521"/>
      <c r="J195" s="521"/>
      <c r="K195" s="521"/>
      <c r="L195" s="521"/>
      <c r="M195" s="521"/>
      <c r="N195" s="521"/>
      <c r="O195" s="521"/>
      <c r="P195" s="521"/>
      <c r="Q195" s="521"/>
      <c r="R195" s="521"/>
      <c r="S195" s="521"/>
      <c r="T195" s="575">
        <v>4.7300000000000004</v>
      </c>
      <c r="U195" s="523" t="s">
        <v>122</v>
      </c>
      <c r="V195" s="506"/>
    </row>
    <row r="196" spans="1:22" s="507" customFormat="1" x14ac:dyDescent="0.35">
      <c r="A196" s="520"/>
      <c r="B196" s="521"/>
      <c r="C196" s="521"/>
      <c r="D196" s="521"/>
      <c r="E196" s="521"/>
      <c r="F196" s="521"/>
      <c r="G196" s="521"/>
      <c r="H196" s="521"/>
      <c r="I196" s="521"/>
      <c r="J196" s="521"/>
      <c r="K196" s="521"/>
      <c r="L196" s="521"/>
      <c r="M196" s="521"/>
      <c r="N196" s="521"/>
      <c r="O196" s="521"/>
      <c r="P196" s="521"/>
      <c r="Q196" s="521"/>
      <c r="R196" s="521"/>
      <c r="S196" s="521"/>
      <c r="T196" s="521"/>
      <c r="U196" s="523"/>
      <c r="V196" s="506"/>
    </row>
    <row r="197" spans="1:22" s="507" customFormat="1" x14ac:dyDescent="0.35">
      <c r="A197" s="508"/>
      <c r="B197" s="554"/>
      <c r="C197" s="554"/>
      <c r="D197" s="554"/>
      <c r="E197" s="554"/>
      <c r="F197" s="554"/>
      <c r="G197" s="554"/>
      <c r="H197" s="554"/>
      <c r="I197" s="554"/>
      <c r="J197" s="554"/>
      <c r="K197" s="554"/>
      <c r="L197" s="554"/>
      <c r="M197" s="554"/>
      <c r="N197" s="554"/>
      <c r="O197" s="554"/>
      <c r="P197" s="554"/>
      <c r="Q197" s="554"/>
      <c r="R197" s="554"/>
      <c r="S197" s="554"/>
      <c r="T197" s="554"/>
      <c r="U197" s="554"/>
      <c r="V197" s="506"/>
    </row>
    <row r="198" spans="1:22" s="507" customFormat="1" x14ac:dyDescent="0.35">
      <c r="A198" s="508"/>
      <c r="B198" s="509"/>
      <c r="C198" s="509"/>
      <c r="D198" s="509"/>
      <c r="E198" s="509"/>
      <c r="F198" s="509"/>
      <c r="G198" s="509"/>
      <c r="H198" s="509"/>
      <c r="I198" s="509"/>
      <c r="J198" s="509"/>
      <c r="K198" s="509"/>
      <c r="L198" s="509"/>
      <c r="M198" s="509"/>
      <c r="N198" s="509"/>
      <c r="O198" s="509"/>
      <c r="P198" s="509"/>
      <c r="Q198" s="509"/>
      <c r="R198" s="509"/>
      <c r="S198" s="509"/>
      <c r="T198" s="509"/>
      <c r="U198" s="509"/>
      <c r="V198" s="506"/>
    </row>
    <row r="199" spans="1:22" s="507" customFormat="1" ht="19" thickBot="1" x14ac:dyDescent="0.5">
      <c r="A199" s="559"/>
      <c r="B199" s="560" t="str">
        <f>B138</f>
        <v>PM10 INVESTOR REPORT QUARTER ENDING AUGUST 2019</v>
      </c>
      <c r="C199" s="561"/>
      <c r="D199" s="561"/>
      <c r="E199" s="561"/>
      <c r="F199" s="561"/>
      <c r="G199" s="561"/>
      <c r="H199" s="561"/>
      <c r="I199" s="561"/>
      <c r="J199" s="561"/>
      <c r="K199" s="561"/>
      <c r="L199" s="561"/>
      <c r="M199" s="561"/>
      <c r="N199" s="561"/>
      <c r="O199" s="561"/>
      <c r="P199" s="561"/>
      <c r="Q199" s="561"/>
      <c r="R199" s="561"/>
      <c r="S199" s="561"/>
      <c r="T199" s="561"/>
      <c r="U199" s="563"/>
      <c r="V199" s="506"/>
    </row>
    <row r="200" spans="1:22" x14ac:dyDescent="0.35">
      <c r="A200" s="615"/>
      <c r="B200" s="616" t="s">
        <v>72</v>
      </c>
      <c r="C200" s="619"/>
      <c r="D200" s="619"/>
      <c r="E200" s="619"/>
      <c r="F200" s="619"/>
      <c r="G200" s="620"/>
      <c r="H200" s="620"/>
      <c r="I200" s="620"/>
      <c r="J200" s="620"/>
      <c r="K200" s="620"/>
      <c r="L200" s="620"/>
      <c r="M200" s="620"/>
      <c r="N200" s="620"/>
      <c r="O200" s="620"/>
      <c r="P200" s="620"/>
      <c r="Q200" s="620"/>
      <c r="R200" s="620">
        <v>43707</v>
      </c>
      <c r="S200" s="617"/>
      <c r="T200" s="617"/>
      <c r="U200" s="617"/>
      <c r="V200" s="405"/>
    </row>
    <row r="201" spans="1:22" x14ac:dyDescent="0.35">
      <c r="A201" s="443"/>
      <c r="B201" s="444"/>
      <c r="C201" s="445"/>
      <c r="D201" s="445"/>
      <c r="E201" s="445"/>
      <c r="F201" s="445"/>
      <c r="G201" s="446"/>
      <c r="H201" s="446"/>
      <c r="I201" s="446"/>
      <c r="J201" s="446"/>
      <c r="K201" s="446"/>
      <c r="L201" s="446"/>
      <c r="M201" s="446"/>
      <c r="N201" s="446"/>
      <c r="O201" s="446"/>
      <c r="P201" s="446"/>
      <c r="Q201" s="446"/>
      <c r="R201" s="446"/>
      <c r="S201" s="409"/>
      <c r="T201" s="409"/>
      <c r="U201" s="409"/>
      <c r="V201" s="405"/>
    </row>
    <row r="202" spans="1:22" s="507" customFormat="1" x14ac:dyDescent="0.35">
      <c r="A202" s="520"/>
      <c r="B202" s="521" t="s">
        <v>73</v>
      </c>
      <c r="C202" s="576"/>
      <c r="D202" s="576"/>
      <c r="E202" s="576"/>
      <c r="F202" s="576"/>
      <c r="G202" s="548"/>
      <c r="H202" s="548"/>
      <c r="I202" s="548"/>
      <c r="J202" s="548"/>
      <c r="K202" s="548"/>
      <c r="L202" s="548"/>
      <c r="M202" s="548"/>
      <c r="N202" s="548"/>
      <c r="O202" s="548"/>
      <c r="P202" s="548"/>
      <c r="Q202" s="548"/>
      <c r="R202" s="540">
        <v>5.3960000000000001E-2</v>
      </c>
      <c r="S202" s="521"/>
      <c r="T202" s="521"/>
      <c r="U202" s="523"/>
      <c r="V202" s="506"/>
    </row>
    <row r="203" spans="1:22" s="507" customFormat="1" x14ac:dyDescent="0.35">
      <c r="A203" s="520"/>
      <c r="B203" s="521" t="s">
        <v>159</v>
      </c>
      <c r="C203" s="576"/>
      <c r="D203" s="576"/>
      <c r="E203" s="576"/>
      <c r="F203" s="576"/>
      <c r="G203" s="548"/>
      <c r="H203" s="548"/>
      <c r="I203" s="548"/>
      <c r="J203" s="548"/>
      <c r="K203" s="548"/>
      <c r="L203" s="548"/>
      <c r="M203" s="548"/>
      <c r="N203" s="548"/>
      <c r="O203" s="548"/>
      <c r="P203" s="548"/>
      <c r="Q203" s="548"/>
      <c r="R203" s="540">
        <v>4.7399999999999998E-2</v>
      </c>
      <c r="S203" s="521"/>
      <c r="T203" s="521"/>
      <c r="U203" s="523"/>
      <c r="V203" s="506"/>
    </row>
    <row r="204" spans="1:22" s="507" customFormat="1" x14ac:dyDescent="0.35">
      <c r="A204" s="520"/>
      <c r="B204" s="521" t="s">
        <v>74</v>
      </c>
      <c r="C204" s="576"/>
      <c r="D204" s="576"/>
      <c r="E204" s="576"/>
      <c r="F204" s="576"/>
      <c r="G204" s="548"/>
      <c r="H204" s="548"/>
      <c r="I204" s="548"/>
      <c r="J204" s="548"/>
      <c r="K204" s="548"/>
      <c r="L204" s="548"/>
      <c r="M204" s="548"/>
      <c r="N204" s="548"/>
      <c r="O204" s="548"/>
      <c r="P204" s="548"/>
      <c r="Q204" s="548"/>
      <c r="R204" s="540">
        <f>R202-R203</f>
        <v>6.5600000000000033E-3</v>
      </c>
      <c r="S204" s="521"/>
      <c r="T204" s="521"/>
      <c r="U204" s="523"/>
      <c r="V204" s="506"/>
    </row>
    <row r="205" spans="1:22" s="507" customFormat="1" x14ac:dyDescent="0.35">
      <c r="A205" s="520"/>
      <c r="B205" s="521" t="s">
        <v>75</v>
      </c>
      <c r="C205" s="576"/>
      <c r="D205" s="576"/>
      <c r="E205" s="576"/>
      <c r="F205" s="576"/>
      <c r="G205" s="548"/>
      <c r="H205" s="548"/>
      <c r="I205" s="548"/>
      <c r="J205" s="548"/>
      <c r="K205" s="548"/>
      <c r="L205" s="548"/>
      <c r="M205" s="548"/>
      <c r="N205" s="548"/>
      <c r="O205" s="548"/>
      <c r="P205" s="548"/>
      <c r="Q205" s="548"/>
      <c r="R205" s="540">
        <v>2.5000000000000001E-2</v>
      </c>
      <c r="S205" s="521"/>
      <c r="T205" s="521"/>
      <c r="U205" s="523"/>
      <c r="V205" s="506"/>
    </row>
    <row r="206" spans="1:22" s="507" customFormat="1" x14ac:dyDescent="0.35">
      <c r="A206" s="520"/>
      <c r="B206" s="521" t="s">
        <v>262</v>
      </c>
      <c r="C206" s="576"/>
      <c r="D206" s="576"/>
      <c r="E206" s="576"/>
      <c r="F206" s="576"/>
      <c r="G206" s="548"/>
      <c r="H206" s="548"/>
      <c r="I206" s="548"/>
      <c r="J206" s="548"/>
      <c r="K206" s="548"/>
      <c r="L206" s="548"/>
      <c r="M206" s="548"/>
      <c r="N206" s="548"/>
      <c r="O206" s="548"/>
      <c r="P206" s="548"/>
      <c r="Q206" s="548"/>
      <c r="R206" s="540">
        <f>T43</f>
        <v>1.2620812580670035E-2</v>
      </c>
      <c r="S206" s="521"/>
      <c r="T206" s="521"/>
      <c r="U206" s="523"/>
      <c r="V206" s="506"/>
    </row>
    <row r="207" spans="1:22" s="507" customFormat="1" x14ac:dyDescent="0.35">
      <c r="A207" s="520"/>
      <c r="B207" s="521" t="s">
        <v>76</v>
      </c>
      <c r="C207" s="576"/>
      <c r="D207" s="576"/>
      <c r="E207" s="576"/>
      <c r="F207" s="576"/>
      <c r="G207" s="548"/>
      <c r="H207" s="548"/>
      <c r="I207" s="548"/>
      <c r="J207" s="548"/>
      <c r="K207" s="548"/>
      <c r="L207" s="548"/>
      <c r="M207" s="548"/>
      <c r="N207" s="548"/>
      <c r="O207" s="548"/>
      <c r="P207" s="548"/>
      <c r="Q207" s="548"/>
      <c r="R207" s="540">
        <f>R205-R206</f>
        <v>1.2379187419329966E-2</v>
      </c>
      <c r="S207" s="521"/>
      <c r="T207" s="521"/>
      <c r="U207" s="523"/>
      <c r="V207" s="506"/>
    </row>
    <row r="208" spans="1:22" s="507" customFormat="1" x14ac:dyDescent="0.35">
      <c r="A208" s="520"/>
      <c r="B208" s="521" t="s">
        <v>269</v>
      </c>
      <c r="C208" s="576"/>
      <c r="D208" s="576"/>
      <c r="E208" s="576"/>
      <c r="F208" s="576"/>
      <c r="G208" s="548"/>
      <c r="H208" s="548"/>
      <c r="I208" s="548"/>
      <c r="J208" s="548"/>
      <c r="K208" s="548"/>
      <c r="L208" s="548"/>
      <c r="M208" s="548"/>
      <c r="N208" s="548"/>
      <c r="O208" s="548"/>
      <c r="P208" s="548"/>
      <c r="Q208" s="548"/>
      <c r="R208" s="540">
        <f>+T99/L67</f>
        <v>7.8577160643937549E-3</v>
      </c>
      <c r="S208" s="521"/>
      <c r="T208" s="521"/>
      <c r="U208" s="523"/>
      <c r="V208" s="506"/>
    </row>
    <row r="209" spans="1:22" s="507" customFormat="1" x14ac:dyDescent="0.35">
      <c r="A209" s="520"/>
      <c r="B209" s="521" t="s">
        <v>251</v>
      </c>
      <c r="C209" s="576"/>
      <c r="D209" s="576"/>
      <c r="E209" s="576"/>
      <c r="F209" s="576"/>
      <c r="G209" s="548"/>
      <c r="H209" s="548"/>
      <c r="I209" s="548"/>
      <c r="J209" s="548"/>
      <c r="K209" s="548"/>
      <c r="L209" s="548"/>
      <c r="M209" s="548"/>
      <c r="N209" s="548"/>
      <c r="O209" s="548"/>
      <c r="P209" s="548"/>
      <c r="Q209" s="548"/>
      <c r="R209" s="577">
        <v>51653</v>
      </c>
      <c r="S209" s="521"/>
      <c r="T209" s="521"/>
      <c r="U209" s="523"/>
      <c r="V209" s="506"/>
    </row>
    <row r="210" spans="1:22" s="507" customFormat="1" x14ac:dyDescent="0.35">
      <c r="A210" s="520"/>
      <c r="B210" s="521" t="s">
        <v>252</v>
      </c>
      <c r="C210" s="576"/>
      <c r="D210" s="576"/>
      <c r="E210" s="576"/>
      <c r="F210" s="576"/>
      <c r="G210" s="548"/>
      <c r="H210" s="548"/>
      <c r="I210" s="548"/>
      <c r="J210" s="548"/>
      <c r="K210" s="548"/>
      <c r="L210" s="548"/>
      <c r="M210" s="548"/>
      <c r="N210" s="548"/>
      <c r="O210" s="548"/>
      <c r="P210" s="548"/>
      <c r="Q210" s="548"/>
      <c r="R210" s="577">
        <v>51653</v>
      </c>
      <c r="S210" s="521"/>
      <c r="T210" s="521"/>
      <c r="U210" s="523"/>
      <c r="V210" s="506"/>
    </row>
    <row r="211" spans="1:22" s="507" customFormat="1" x14ac:dyDescent="0.35">
      <c r="A211" s="520"/>
      <c r="B211" s="521" t="s">
        <v>253</v>
      </c>
      <c r="C211" s="576"/>
      <c r="D211" s="576"/>
      <c r="E211" s="576"/>
      <c r="F211" s="576"/>
      <c r="G211" s="548"/>
      <c r="H211" s="548"/>
      <c r="I211" s="548"/>
      <c r="J211" s="548"/>
      <c r="K211" s="548"/>
      <c r="L211" s="548"/>
      <c r="M211" s="548"/>
      <c r="N211" s="548"/>
      <c r="O211" s="548"/>
      <c r="P211" s="548"/>
      <c r="Q211" s="548"/>
      <c r="R211" s="577">
        <v>51653</v>
      </c>
      <c r="S211" s="521"/>
      <c r="T211" s="521"/>
      <c r="U211" s="523"/>
      <c r="V211" s="506"/>
    </row>
    <row r="212" spans="1:22" s="507" customFormat="1" x14ac:dyDescent="0.35">
      <c r="A212" s="520"/>
      <c r="B212" s="521" t="s">
        <v>77</v>
      </c>
      <c r="C212" s="576"/>
      <c r="D212" s="576"/>
      <c r="E212" s="576"/>
      <c r="F212" s="576"/>
      <c r="G212" s="548"/>
      <c r="H212" s="548"/>
      <c r="I212" s="548"/>
      <c r="J212" s="548"/>
      <c r="K212" s="548"/>
      <c r="L212" s="548"/>
      <c r="M212" s="548"/>
      <c r="N212" s="548"/>
      <c r="O212" s="548"/>
      <c r="P212" s="548"/>
      <c r="Q212" s="548"/>
      <c r="R212" s="546">
        <v>21.48</v>
      </c>
      <c r="S212" s="521" t="s">
        <v>117</v>
      </c>
      <c r="T212" s="521"/>
      <c r="U212" s="523"/>
      <c r="V212" s="506"/>
    </row>
    <row r="213" spans="1:22" s="507" customFormat="1" x14ac:dyDescent="0.35">
      <c r="A213" s="520"/>
      <c r="B213" s="521" t="s">
        <v>78</v>
      </c>
      <c r="C213" s="576"/>
      <c r="D213" s="576"/>
      <c r="E213" s="576"/>
      <c r="F213" s="576"/>
      <c r="G213" s="548"/>
      <c r="H213" s="548"/>
      <c r="I213" s="548"/>
      <c r="J213" s="548"/>
      <c r="K213" s="548"/>
      <c r="L213" s="548"/>
      <c r="M213" s="548"/>
      <c r="N213" s="548"/>
      <c r="O213" s="548"/>
      <c r="P213" s="548"/>
      <c r="Q213" s="548"/>
      <c r="R213" s="546">
        <v>8.86</v>
      </c>
      <c r="S213" s="521" t="s">
        <v>117</v>
      </c>
      <c r="T213" s="521"/>
      <c r="U213" s="523"/>
      <c r="V213" s="506"/>
    </row>
    <row r="214" spans="1:22" s="507" customFormat="1" x14ac:dyDescent="0.35">
      <c r="A214" s="520"/>
      <c r="B214" s="521" t="s">
        <v>79</v>
      </c>
      <c r="C214" s="576"/>
      <c r="D214" s="576"/>
      <c r="E214" s="576"/>
      <c r="F214" s="576"/>
      <c r="G214" s="548"/>
      <c r="H214" s="548"/>
      <c r="I214" s="548"/>
      <c r="J214" s="548"/>
      <c r="K214" s="548"/>
      <c r="L214" s="548"/>
      <c r="M214" s="548"/>
      <c r="N214" s="548"/>
      <c r="O214" s="548"/>
      <c r="P214" s="548"/>
      <c r="Q214" s="548"/>
      <c r="R214" s="540">
        <f>+N67/L67</f>
        <v>1.9098657652837896E-2</v>
      </c>
      <c r="S214" s="521"/>
      <c r="T214" s="521"/>
      <c r="U214" s="523"/>
      <c r="V214" s="506"/>
    </row>
    <row r="215" spans="1:22" s="507" customFormat="1" x14ac:dyDescent="0.35">
      <c r="A215" s="520"/>
      <c r="B215" s="521" t="s">
        <v>80</v>
      </c>
      <c r="C215" s="576"/>
      <c r="D215" s="576"/>
      <c r="E215" s="576"/>
      <c r="F215" s="576"/>
      <c r="G215" s="548"/>
      <c r="H215" s="548"/>
      <c r="I215" s="548"/>
      <c r="J215" s="548"/>
      <c r="K215" s="548"/>
      <c r="L215" s="548"/>
      <c r="M215" s="548"/>
      <c r="N215" s="548"/>
      <c r="O215" s="548"/>
      <c r="P215" s="548"/>
      <c r="Q215" s="548"/>
      <c r="R215" s="540">
        <v>8.3099999999999993E-2</v>
      </c>
      <c r="S215" s="521"/>
      <c r="T215" s="521"/>
      <c r="U215" s="523"/>
      <c r="V215" s="506"/>
    </row>
    <row r="216" spans="1:22" x14ac:dyDescent="0.35">
      <c r="A216" s="443"/>
      <c r="B216" s="423"/>
      <c r="C216" s="423"/>
      <c r="D216" s="423"/>
      <c r="E216" s="423"/>
      <c r="F216" s="423"/>
      <c r="G216" s="423"/>
      <c r="H216" s="423"/>
      <c r="I216" s="423"/>
      <c r="J216" s="423"/>
      <c r="K216" s="423"/>
      <c r="L216" s="423"/>
      <c r="M216" s="423"/>
      <c r="N216" s="423"/>
      <c r="O216" s="423"/>
      <c r="P216" s="423"/>
      <c r="Q216" s="423"/>
      <c r="R216" s="447"/>
      <c r="S216" s="423"/>
      <c r="T216" s="448"/>
      <c r="U216" s="423"/>
      <c r="V216" s="405"/>
    </row>
    <row r="217" spans="1:22" x14ac:dyDescent="0.35">
      <c r="A217" s="621"/>
      <c r="B217" s="610" t="s">
        <v>81</v>
      </c>
      <c r="C217" s="611"/>
      <c r="D217" s="611"/>
      <c r="E217" s="611"/>
      <c r="F217" s="627"/>
      <c r="G217" s="611"/>
      <c r="H217" s="611"/>
      <c r="I217" s="611"/>
      <c r="J217" s="611"/>
      <c r="K217" s="611"/>
      <c r="L217" s="611"/>
      <c r="M217" s="611"/>
      <c r="N217" s="611"/>
      <c r="O217" s="611"/>
      <c r="P217" s="611"/>
      <c r="Q217" s="611" t="s">
        <v>106</v>
      </c>
      <c r="R217" s="627" t="s">
        <v>113</v>
      </c>
      <c r="S217" s="628"/>
      <c r="T217" s="628"/>
      <c r="U217" s="614"/>
      <c r="V217" s="405"/>
    </row>
    <row r="218" spans="1:22" s="507" customFormat="1" x14ac:dyDescent="0.35">
      <c r="A218" s="622"/>
      <c r="B218" s="554" t="s">
        <v>82</v>
      </c>
      <c r="C218" s="571"/>
      <c r="D218" s="571"/>
      <c r="E218" s="571"/>
      <c r="F218" s="554"/>
      <c r="G218" s="554"/>
      <c r="H218" s="623"/>
      <c r="I218" s="623"/>
      <c r="J218" s="623"/>
      <c r="K218" s="623"/>
      <c r="L218" s="623"/>
      <c r="M218" s="623"/>
      <c r="N218" s="623"/>
      <c r="O218" s="623"/>
      <c r="P218" s="623"/>
      <c r="Q218" s="623">
        <v>0</v>
      </c>
      <c r="R218" s="624">
        <v>0</v>
      </c>
      <c r="S218" s="554"/>
      <c r="T218" s="625"/>
      <c r="U218" s="626"/>
      <c r="V218" s="506"/>
    </row>
    <row r="219" spans="1:22" s="507" customFormat="1" x14ac:dyDescent="0.35">
      <c r="A219" s="578"/>
      <c r="B219" s="521" t="s">
        <v>152</v>
      </c>
      <c r="C219" s="564"/>
      <c r="D219" s="564"/>
      <c r="E219" s="564"/>
      <c r="F219" s="521"/>
      <c r="G219" s="521"/>
      <c r="H219" s="527"/>
      <c r="I219" s="527"/>
      <c r="J219" s="527"/>
      <c r="K219" s="527"/>
      <c r="L219" s="527"/>
      <c r="M219" s="527"/>
      <c r="N219" s="527"/>
      <c r="O219" s="527"/>
      <c r="P219" s="527"/>
      <c r="Q219" s="579">
        <f>+P271</f>
        <v>58</v>
      </c>
      <c r="R219" s="580">
        <f>+R271</f>
        <v>9251</v>
      </c>
      <c r="S219" s="521"/>
      <c r="T219" s="581"/>
      <c r="U219" s="582"/>
      <c r="V219" s="506"/>
    </row>
    <row r="220" spans="1:22" s="507" customFormat="1" x14ac:dyDescent="0.35">
      <c r="A220" s="578"/>
      <c r="B220" s="521" t="s">
        <v>83</v>
      </c>
      <c r="C220" s="564"/>
      <c r="D220" s="564"/>
      <c r="E220" s="564"/>
      <c r="F220" s="521"/>
      <c r="G220" s="521"/>
      <c r="H220" s="527"/>
      <c r="I220" s="527"/>
      <c r="J220" s="527"/>
      <c r="K220" s="527"/>
      <c r="L220" s="527"/>
      <c r="M220" s="527"/>
      <c r="N220" s="527"/>
      <c r="O220" s="527"/>
      <c r="P220" s="527"/>
      <c r="Q220" s="527">
        <v>0</v>
      </c>
      <c r="R220" s="580">
        <v>0</v>
      </c>
      <c r="S220" s="521"/>
      <c r="T220" s="581"/>
      <c r="U220" s="582"/>
      <c r="V220" s="506"/>
    </row>
    <row r="221" spans="1:22" x14ac:dyDescent="0.35">
      <c r="A221" s="449"/>
      <c r="B221" s="479" t="s">
        <v>84</v>
      </c>
      <c r="C221" s="451"/>
      <c r="D221" s="451"/>
      <c r="E221" s="451"/>
      <c r="F221" s="421"/>
      <c r="G221" s="421"/>
      <c r="H221" s="421"/>
      <c r="I221" s="421"/>
      <c r="J221" s="421"/>
      <c r="K221" s="421"/>
      <c r="L221" s="421"/>
      <c r="M221" s="421"/>
      <c r="N221" s="421"/>
      <c r="O221" s="421"/>
      <c r="P221" s="421"/>
      <c r="Q221" s="417"/>
      <c r="R221" s="580">
        <v>0</v>
      </c>
      <c r="S221" s="421"/>
      <c r="T221" s="452"/>
      <c r="U221" s="453"/>
      <c r="V221" s="405"/>
    </row>
    <row r="222" spans="1:22" x14ac:dyDescent="0.35">
      <c r="A222" s="449"/>
      <c r="B222" s="479" t="s">
        <v>85</v>
      </c>
      <c r="C222" s="451"/>
      <c r="D222" s="451"/>
      <c r="E222" s="451"/>
      <c r="F222" s="421"/>
      <c r="G222" s="421"/>
      <c r="H222" s="421"/>
      <c r="I222" s="421"/>
      <c r="J222" s="421"/>
      <c r="K222" s="421"/>
      <c r="L222" s="421"/>
      <c r="M222" s="421"/>
      <c r="N222" s="421"/>
      <c r="O222" s="421"/>
      <c r="P222" s="421"/>
      <c r="Q222" s="417"/>
      <c r="R222" s="585" t="s">
        <v>114</v>
      </c>
      <c r="S222" s="421"/>
      <c r="T222" s="452"/>
      <c r="U222" s="453"/>
      <c r="V222" s="405"/>
    </row>
    <row r="223" spans="1:22" x14ac:dyDescent="0.35">
      <c r="A223" s="454"/>
      <c r="B223" s="479" t="s">
        <v>86</v>
      </c>
      <c r="C223" s="455"/>
      <c r="D223" s="455"/>
      <c r="E223" s="455"/>
      <c r="F223" s="455"/>
      <c r="G223" s="421"/>
      <c r="H223" s="421"/>
      <c r="I223" s="421"/>
      <c r="J223" s="421"/>
      <c r="K223" s="421"/>
      <c r="L223" s="421"/>
      <c r="M223" s="421"/>
      <c r="N223" s="421"/>
      <c r="O223" s="421"/>
      <c r="P223" s="421"/>
      <c r="Q223" s="417"/>
      <c r="R223" s="580"/>
      <c r="S223" s="421"/>
      <c r="T223" s="452"/>
      <c r="U223" s="456"/>
      <c r="V223" s="405"/>
    </row>
    <row r="224" spans="1:22" s="507" customFormat="1" x14ac:dyDescent="0.35">
      <c r="A224" s="583"/>
      <c r="B224" s="521" t="s">
        <v>87</v>
      </c>
      <c r="C224" s="521"/>
      <c r="D224" s="521"/>
      <c r="E224" s="521"/>
      <c r="F224" s="521"/>
      <c r="G224" s="521"/>
      <c r="H224" s="521"/>
      <c r="I224" s="521"/>
      <c r="J224" s="521"/>
      <c r="K224" s="521"/>
      <c r="L224" s="521"/>
      <c r="M224" s="521"/>
      <c r="N224" s="521"/>
      <c r="O224" s="521"/>
      <c r="P224" s="521"/>
      <c r="Q224" s="527"/>
      <c r="R224" s="580">
        <f>+T168</f>
        <v>314</v>
      </c>
      <c r="S224" s="521"/>
      <c r="T224" s="581"/>
      <c r="U224" s="584"/>
      <c r="V224" s="506"/>
    </row>
    <row r="225" spans="1:23" s="507" customFormat="1" x14ac:dyDescent="0.35">
      <c r="A225" s="578"/>
      <c r="B225" s="521" t="s">
        <v>88</v>
      </c>
      <c r="C225" s="564"/>
      <c r="D225" s="564"/>
      <c r="E225" s="564"/>
      <c r="F225" s="564"/>
      <c r="G225" s="521"/>
      <c r="H225" s="521"/>
      <c r="I225" s="521"/>
      <c r="J225" s="521"/>
      <c r="K225" s="521"/>
      <c r="L225" s="521"/>
      <c r="M225" s="521"/>
      <c r="N225" s="521"/>
      <c r="O225" s="521"/>
      <c r="P225" s="521"/>
      <c r="Q225" s="580"/>
      <c r="R225" s="580">
        <f>'May 19'!R222+R224</f>
        <v>7589</v>
      </c>
      <c r="S225" s="521"/>
      <c r="T225" s="581"/>
      <c r="U225" s="584"/>
      <c r="V225" s="506"/>
    </row>
    <row r="226" spans="1:23" x14ac:dyDescent="0.35">
      <c r="A226" s="454"/>
      <c r="B226" s="479" t="s">
        <v>295</v>
      </c>
      <c r="C226" s="455"/>
      <c r="D226" s="455"/>
      <c r="E226" s="455"/>
      <c r="F226" s="455"/>
      <c r="G226" s="421"/>
      <c r="H226" s="421"/>
      <c r="I226" s="421"/>
      <c r="J226" s="421"/>
      <c r="K226" s="421"/>
      <c r="L226" s="421"/>
      <c r="M226" s="421"/>
      <c r="N226" s="421"/>
      <c r="O226" s="421"/>
      <c r="P226" s="421"/>
      <c r="Q226" s="419"/>
      <c r="R226" s="450"/>
      <c r="S226" s="421"/>
      <c r="T226" s="452"/>
      <c r="U226" s="456"/>
      <c r="V226" s="405"/>
    </row>
    <row r="227" spans="1:23" s="507" customFormat="1" x14ac:dyDescent="0.35">
      <c r="A227" s="583"/>
      <c r="B227" s="521" t="s">
        <v>292</v>
      </c>
      <c r="C227" s="521"/>
      <c r="D227" s="521"/>
      <c r="E227" s="521"/>
      <c r="F227" s="521"/>
      <c r="G227" s="521"/>
      <c r="H227" s="521"/>
      <c r="I227" s="521"/>
      <c r="J227" s="521"/>
      <c r="K227" s="521"/>
      <c r="L227" s="521"/>
      <c r="M227" s="521"/>
      <c r="N227" s="521"/>
      <c r="O227" s="521"/>
      <c r="P227" s="521"/>
      <c r="Q227" s="527">
        <v>0</v>
      </c>
      <c r="R227" s="580">
        <v>0</v>
      </c>
      <c r="S227" s="521"/>
      <c r="T227" s="581"/>
      <c r="U227" s="584"/>
      <c r="V227" s="506"/>
    </row>
    <row r="228" spans="1:23" s="507" customFormat="1" x14ac:dyDescent="0.35">
      <c r="A228" s="578"/>
      <c r="B228" s="521" t="s">
        <v>90</v>
      </c>
      <c r="C228" s="543"/>
      <c r="D228" s="543"/>
      <c r="E228" s="543"/>
      <c r="F228" s="586"/>
      <c r="G228" s="521"/>
      <c r="H228" s="521"/>
      <c r="I228" s="521"/>
      <c r="J228" s="521"/>
      <c r="K228" s="521"/>
      <c r="L228" s="521"/>
      <c r="M228" s="521"/>
      <c r="N228" s="521"/>
      <c r="O228" s="521"/>
      <c r="P228" s="521"/>
      <c r="Q228" s="521"/>
      <c r="R228" s="585">
        <v>0</v>
      </c>
      <c r="S228" s="521"/>
      <c r="T228" s="581"/>
      <c r="U228" s="584"/>
      <c r="V228" s="506"/>
    </row>
    <row r="229" spans="1:23" s="507" customFormat="1" x14ac:dyDescent="0.35">
      <c r="A229" s="578"/>
      <c r="B229" s="521" t="s">
        <v>91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79" t="s">
        <v>260</v>
      </c>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s="507" customFormat="1" x14ac:dyDescent="0.35">
      <c r="A231" s="578"/>
      <c r="B231" s="521" t="s">
        <v>292</v>
      </c>
      <c r="C231" s="543"/>
      <c r="D231" s="543"/>
      <c r="E231" s="543"/>
      <c r="F231" s="586"/>
      <c r="G231" s="521"/>
      <c r="H231" s="521"/>
      <c r="I231" s="521"/>
      <c r="J231" s="521"/>
      <c r="K231" s="521"/>
      <c r="L231" s="521"/>
      <c r="M231" s="521"/>
      <c r="N231" s="521"/>
      <c r="O231" s="521"/>
      <c r="P231" s="521"/>
      <c r="Q231" s="527">
        <v>5</v>
      </c>
      <c r="R231" s="580">
        <v>794</v>
      </c>
      <c r="S231" s="521"/>
      <c r="T231" s="581"/>
      <c r="U231" s="584"/>
      <c r="V231" s="506"/>
    </row>
    <row r="232" spans="1:23" s="507" customFormat="1" x14ac:dyDescent="0.35">
      <c r="A232" s="578"/>
      <c r="B232" s="521" t="s">
        <v>261</v>
      </c>
      <c r="C232" s="543"/>
      <c r="D232" s="543"/>
      <c r="E232" s="543"/>
      <c r="F232" s="586"/>
      <c r="G232" s="521"/>
      <c r="H232" s="521"/>
      <c r="I232" s="521"/>
      <c r="J232" s="521"/>
      <c r="K232" s="521"/>
      <c r="L232" s="521"/>
      <c r="M232" s="521"/>
      <c r="N232" s="521"/>
      <c r="O232" s="521"/>
      <c r="P232" s="521"/>
      <c r="Q232" s="521"/>
      <c r="R232" s="585">
        <v>4.2300000000000004</v>
      </c>
      <c r="S232" s="521"/>
      <c r="T232" s="581"/>
      <c r="U232" s="584"/>
      <c r="V232" s="506"/>
    </row>
    <row r="233" spans="1:23" x14ac:dyDescent="0.35">
      <c r="A233" s="449"/>
      <c r="B233" s="455"/>
      <c r="C233" s="457"/>
      <c r="D233" s="457"/>
      <c r="E233" s="457"/>
      <c r="F233" s="458"/>
      <c r="G233" s="421"/>
      <c r="H233" s="421"/>
      <c r="I233" s="421"/>
      <c r="J233" s="421"/>
      <c r="K233" s="421"/>
      <c r="L233" s="421"/>
      <c r="M233" s="421"/>
      <c r="N233" s="421"/>
      <c r="O233" s="421"/>
      <c r="P233" s="421"/>
      <c r="Q233" s="417"/>
      <c r="R233" s="459"/>
      <c r="S233" s="421"/>
      <c r="T233" s="452"/>
      <c r="U233" s="456"/>
      <c r="V233" s="405"/>
    </row>
    <row r="234" spans="1:23" x14ac:dyDescent="0.35">
      <c r="A234" s="449"/>
      <c r="B234" s="455"/>
      <c r="C234" s="457"/>
      <c r="D234" s="457"/>
      <c r="E234" s="457"/>
      <c r="F234" s="458"/>
      <c r="G234" s="421"/>
      <c r="H234" s="421"/>
      <c r="I234" s="421"/>
      <c r="J234" s="421"/>
      <c r="K234" s="421"/>
      <c r="L234" s="421"/>
      <c r="M234" s="421"/>
      <c r="N234" s="421"/>
      <c r="O234" s="421"/>
      <c r="P234" s="421"/>
      <c r="Q234" s="421"/>
      <c r="R234" s="460"/>
      <c r="S234" s="421"/>
      <c r="T234" s="452"/>
      <c r="U234" s="456"/>
      <c r="V234" s="405"/>
    </row>
    <row r="235" spans="1:23" ht="18.5" x14ac:dyDescent="0.45">
      <c r="A235" s="449"/>
      <c r="B235" s="478" t="s">
        <v>178</v>
      </c>
      <c r="C235" s="457"/>
      <c r="D235" s="457"/>
      <c r="E235" s="457"/>
      <c r="F235" s="458"/>
      <c r="G235" s="421"/>
      <c r="H235" s="421"/>
      <c r="I235" s="421"/>
      <c r="J235" s="421"/>
      <c r="K235" s="421"/>
      <c r="L235" s="421"/>
      <c r="M235" s="421"/>
      <c r="N235" s="475" t="s">
        <v>361</v>
      </c>
      <c r="O235" s="421"/>
      <c r="P235" s="421"/>
      <c r="Q235" s="421"/>
      <c r="R235" s="460"/>
      <c r="S235" s="421"/>
      <c r="T235" s="452"/>
      <c r="U235" s="456"/>
      <c r="V235" s="405"/>
    </row>
    <row r="236" spans="1:23" x14ac:dyDescent="0.35">
      <c r="A236" s="461"/>
      <c r="B236" s="462"/>
      <c r="C236" s="463"/>
      <c r="D236" s="463"/>
      <c r="E236" s="463"/>
      <c r="F236" s="464"/>
      <c r="G236" s="427"/>
      <c r="H236" s="427"/>
      <c r="I236" s="427"/>
      <c r="J236" s="427"/>
      <c r="K236" s="427"/>
      <c r="L236" s="427"/>
      <c r="M236" s="427"/>
      <c r="N236" s="427"/>
      <c r="O236" s="427"/>
      <c r="P236" s="427"/>
      <c r="Q236" s="427"/>
      <c r="R236" s="465"/>
      <c r="S236" s="427"/>
      <c r="T236" s="466"/>
      <c r="U236" s="467"/>
      <c r="V236" s="405"/>
    </row>
    <row r="237" spans="1:23" x14ac:dyDescent="0.35">
      <c r="A237" s="599"/>
      <c r="B237" s="610" t="s">
        <v>307</v>
      </c>
      <c r="C237" s="611"/>
      <c r="D237" s="611"/>
      <c r="E237" s="611"/>
      <c r="F237" s="627"/>
      <c r="G237" s="611"/>
      <c r="H237" s="611"/>
      <c r="I237" s="611"/>
      <c r="J237" s="611"/>
      <c r="K237" s="611"/>
      <c r="L237" s="611"/>
      <c r="M237" s="611"/>
      <c r="N237" s="611"/>
      <c r="O237" s="611"/>
      <c r="P237" s="627" t="s">
        <v>106</v>
      </c>
      <c r="Q237" s="611" t="s">
        <v>107</v>
      </c>
      <c r="R237" s="627" t="s">
        <v>115</v>
      </c>
      <c r="S237" s="611" t="s">
        <v>107</v>
      </c>
      <c r="T237" s="628"/>
      <c r="U237" s="631"/>
      <c r="V237" s="405"/>
    </row>
    <row r="238" spans="1:23" s="507" customFormat="1" x14ac:dyDescent="0.35">
      <c r="A238" s="508"/>
      <c r="B238" s="571" t="s">
        <v>92</v>
      </c>
      <c r="C238" s="629"/>
      <c r="D238" s="629"/>
      <c r="E238" s="629"/>
      <c r="F238" s="554"/>
      <c r="G238" s="629"/>
      <c r="H238" s="629"/>
      <c r="I238" s="629"/>
      <c r="J238" s="629"/>
      <c r="K238" s="629"/>
      <c r="L238" s="629"/>
      <c r="M238" s="629"/>
      <c r="N238" s="629"/>
      <c r="O238" s="629"/>
      <c r="P238" s="571">
        <f t="shared" ref="P238:P245" si="1">+P250+P262+P274</f>
        <v>2417</v>
      </c>
      <c r="Q238" s="589">
        <f t="shared" ref="Q238:Q245" si="2">P238/$P$247</f>
        <v>0.99301561216105172</v>
      </c>
      <c r="R238" s="594">
        <f t="shared" ref="R238:R245" si="3">+R250+R262+R274</f>
        <v>319969</v>
      </c>
      <c r="S238" s="589">
        <f t="shared" ref="S238:S245" si="4">R238/$R$247</f>
        <v>0.99155854016046208</v>
      </c>
      <c r="T238" s="625"/>
      <c r="U238" s="630"/>
      <c r="V238" s="506"/>
    </row>
    <row r="239" spans="1:23" s="507" customFormat="1" x14ac:dyDescent="0.35">
      <c r="A239" s="520"/>
      <c r="B239" s="564" t="s">
        <v>93</v>
      </c>
      <c r="C239" s="588"/>
      <c r="D239" s="588"/>
      <c r="E239" s="588"/>
      <c r="F239" s="521"/>
      <c r="G239" s="587"/>
      <c r="H239" s="588"/>
      <c r="I239" s="588"/>
      <c r="J239" s="588"/>
      <c r="K239" s="588"/>
      <c r="L239" s="588"/>
      <c r="M239" s="588"/>
      <c r="N239" s="588"/>
      <c r="O239" s="588"/>
      <c r="P239" s="564">
        <f t="shared" si="1"/>
        <v>6</v>
      </c>
      <c r="Q239" s="587">
        <f t="shared" si="2"/>
        <v>2.4650780608052587E-3</v>
      </c>
      <c r="R239" s="565">
        <f t="shared" si="3"/>
        <v>1068</v>
      </c>
      <c r="S239" s="587">
        <f t="shared" si="4"/>
        <v>3.3096472498628728E-3</v>
      </c>
      <c r="T239" s="581"/>
      <c r="U239" s="584"/>
      <c r="V239" s="506"/>
      <c r="W239" s="570"/>
    </row>
    <row r="240" spans="1:23" s="507" customFormat="1" x14ac:dyDescent="0.35">
      <c r="A240" s="520"/>
      <c r="B240" s="564" t="s">
        <v>94</v>
      </c>
      <c r="C240" s="588"/>
      <c r="D240" s="588"/>
      <c r="E240" s="588"/>
      <c r="F240" s="521"/>
      <c r="G240" s="587"/>
      <c r="H240" s="588"/>
      <c r="I240" s="588"/>
      <c r="J240" s="588"/>
      <c r="K240" s="588"/>
      <c r="L240" s="588"/>
      <c r="M240" s="588"/>
      <c r="N240" s="588"/>
      <c r="O240" s="588"/>
      <c r="P240" s="564">
        <f t="shared" si="1"/>
        <v>7</v>
      </c>
      <c r="Q240" s="587">
        <f t="shared" si="2"/>
        <v>2.8759244042728021E-3</v>
      </c>
      <c r="R240" s="565">
        <f t="shared" si="3"/>
        <v>1159</v>
      </c>
      <c r="S240" s="587">
        <f t="shared" si="4"/>
        <v>3.5916490286433235E-3</v>
      </c>
      <c r="T240" s="581"/>
      <c r="U240" s="584"/>
      <c r="V240" s="506"/>
    </row>
    <row r="241" spans="1:23" s="507" customFormat="1" x14ac:dyDescent="0.35">
      <c r="A241" s="520"/>
      <c r="B241" s="564" t="s">
        <v>164</v>
      </c>
      <c r="C241" s="588"/>
      <c r="D241" s="588"/>
      <c r="E241" s="588"/>
      <c r="F241" s="521"/>
      <c r="G241" s="587"/>
      <c r="H241" s="588"/>
      <c r="I241" s="588"/>
      <c r="J241" s="588"/>
      <c r="K241" s="588"/>
      <c r="L241" s="588"/>
      <c r="M241" s="588"/>
      <c r="N241" s="588"/>
      <c r="O241" s="588"/>
      <c r="P241" s="564">
        <f t="shared" si="1"/>
        <v>1</v>
      </c>
      <c r="Q241" s="587">
        <f t="shared" si="2"/>
        <v>4.1084634346754312E-4</v>
      </c>
      <c r="R241" s="565">
        <f t="shared" si="3"/>
        <v>128</v>
      </c>
      <c r="S241" s="587">
        <f t="shared" si="4"/>
        <v>3.9666184268019448E-4</v>
      </c>
      <c r="T241" s="581"/>
      <c r="U241" s="584"/>
      <c r="V241" s="506"/>
      <c r="W241" s="570"/>
    </row>
    <row r="242" spans="1:23" s="507" customFormat="1" x14ac:dyDescent="0.35">
      <c r="A242" s="520"/>
      <c r="B242" s="564" t="s">
        <v>165</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7">
        <f t="shared" si="4"/>
        <v>0</v>
      </c>
      <c r="T242" s="581"/>
      <c r="U242" s="584"/>
      <c r="V242" s="506"/>
    </row>
    <row r="243" spans="1:23" s="507" customFormat="1" x14ac:dyDescent="0.35">
      <c r="A243" s="520"/>
      <c r="B243" s="564" t="s">
        <v>166</v>
      </c>
      <c r="C243" s="588"/>
      <c r="D243" s="588"/>
      <c r="E243" s="588"/>
      <c r="F243" s="521"/>
      <c r="G243" s="587"/>
      <c r="H243" s="588"/>
      <c r="I243" s="588"/>
      <c r="J243" s="588"/>
      <c r="K243" s="588"/>
      <c r="L243" s="588"/>
      <c r="M243" s="588"/>
      <c r="N243" s="588"/>
      <c r="O243" s="588"/>
      <c r="P243" s="564">
        <f t="shared" si="1"/>
        <v>0</v>
      </c>
      <c r="Q243" s="587">
        <f t="shared" si="2"/>
        <v>0</v>
      </c>
      <c r="R243" s="565">
        <f t="shared" si="3"/>
        <v>0</v>
      </c>
      <c r="S243" s="587">
        <f t="shared" si="4"/>
        <v>0</v>
      </c>
      <c r="T243" s="581"/>
      <c r="U243" s="584"/>
      <c r="V243" s="506"/>
      <c r="W243" s="570"/>
    </row>
    <row r="244" spans="1:23" s="507" customFormat="1" x14ac:dyDescent="0.35">
      <c r="A244" s="520"/>
      <c r="B244" s="564" t="s">
        <v>167</v>
      </c>
      <c r="C244" s="588"/>
      <c r="D244" s="588"/>
      <c r="E244" s="588"/>
      <c r="F244" s="521"/>
      <c r="G244" s="587"/>
      <c r="H244" s="588"/>
      <c r="I244" s="588"/>
      <c r="J244" s="588"/>
      <c r="K244" s="588"/>
      <c r="L244" s="588"/>
      <c r="M244" s="588"/>
      <c r="N244" s="588"/>
      <c r="O244" s="588"/>
      <c r="P244" s="564">
        <f t="shared" si="1"/>
        <v>1</v>
      </c>
      <c r="Q244" s="587">
        <f t="shared" si="2"/>
        <v>4.1084634346754312E-4</v>
      </c>
      <c r="R244" s="565">
        <f t="shared" si="3"/>
        <v>87</v>
      </c>
      <c r="S244" s="587">
        <f t="shared" si="4"/>
        <v>2.6960609619669469E-4</v>
      </c>
      <c r="T244" s="581"/>
      <c r="U244" s="584"/>
      <c r="V244" s="506"/>
    </row>
    <row r="245" spans="1:23" s="507" customFormat="1" x14ac:dyDescent="0.35">
      <c r="A245" s="520"/>
      <c r="B245" s="564" t="s">
        <v>168</v>
      </c>
      <c r="C245" s="588"/>
      <c r="D245" s="588"/>
      <c r="E245" s="588"/>
      <c r="F245" s="521"/>
      <c r="G245" s="587"/>
      <c r="H245" s="588"/>
      <c r="I245" s="588"/>
      <c r="J245" s="588"/>
      <c r="K245" s="588"/>
      <c r="L245" s="588"/>
      <c r="M245" s="588"/>
      <c r="N245" s="588"/>
      <c r="O245" s="588"/>
      <c r="P245" s="564">
        <f t="shared" si="1"/>
        <v>2</v>
      </c>
      <c r="Q245" s="587">
        <f t="shared" si="2"/>
        <v>8.2169268693508624E-4</v>
      </c>
      <c r="R245" s="565">
        <f t="shared" si="3"/>
        <v>282</v>
      </c>
      <c r="S245" s="589">
        <f t="shared" si="4"/>
        <v>8.7389562215480345E-4</v>
      </c>
      <c r="T245" s="581"/>
      <c r="U245" s="584"/>
      <c r="V245" s="506"/>
      <c r="W245" s="570"/>
    </row>
    <row r="246" spans="1:23" s="507" customFormat="1" x14ac:dyDescent="0.35">
      <c r="A246" s="520"/>
      <c r="B246" s="564"/>
      <c r="C246" s="588"/>
      <c r="D246" s="588"/>
      <c r="E246" s="588"/>
      <c r="F246" s="521"/>
      <c r="G246" s="587"/>
      <c r="H246" s="588"/>
      <c r="I246" s="588"/>
      <c r="J246" s="588"/>
      <c r="K246" s="588"/>
      <c r="L246" s="588"/>
      <c r="M246" s="588"/>
      <c r="N246" s="588"/>
      <c r="O246" s="588"/>
      <c r="P246" s="564"/>
      <c r="Q246" s="587"/>
      <c r="R246" s="565"/>
      <c r="S246" s="587"/>
      <c r="T246" s="581"/>
      <c r="U246" s="584"/>
      <c r="V246" s="506"/>
    </row>
    <row r="247" spans="1:23" s="507" customFormat="1" x14ac:dyDescent="0.35">
      <c r="A247" s="520"/>
      <c r="B247" s="521"/>
      <c r="C247" s="521"/>
      <c r="D247" s="521"/>
      <c r="E247" s="521"/>
      <c r="F247" s="521"/>
      <c r="G247" s="521"/>
      <c r="H247" s="590"/>
      <c r="I247" s="590"/>
      <c r="J247" s="590"/>
      <c r="K247" s="590"/>
      <c r="L247" s="590"/>
      <c r="M247" s="590"/>
      <c r="N247" s="590"/>
      <c r="O247" s="590"/>
      <c r="P247" s="564">
        <f>SUM(P238:P246)</f>
        <v>2434</v>
      </c>
      <c r="Q247" s="587">
        <f>SUM(Q238:Q246)</f>
        <v>0.99999999999999989</v>
      </c>
      <c r="R247" s="565">
        <f>SUM(R238:R246)</f>
        <v>322693</v>
      </c>
      <c r="S247" s="587">
        <f>SUM(S238:S246)</f>
        <v>0.99999999999999978</v>
      </c>
      <c r="T247" s="521"/>
      <c r="U247" s="523"/>
      <c r="V247" s="506"/>
    </row>
    <row r="248" spans="1:23" x14ac:dyDescent="0.35">
      <c r="A248" s="407"/>
      <c r="B248" s="423"/>
      <c r="C248" s="423"/>
      <c r="D248" s="423"/>
      <c r="E248" s="423"/>
      <c r="F248" s="423"/>
      <c r="G248" s="423"/>
      <c r="H248" s="468"/>
      <c r="I248" s="468"/>
      <c r="J248" s="468"/>
      <c r="K248" s="468"/>
      <c r="L248" s="468"/>
      <c r="M248" s="468"/>
      <c r="N248" s="468"/>
      <c r="O248" s="468"/>
      <c r="P248" s="435"/>
      <c r="Q248" s="469"/>
      <c r="R248" s="470"/>
      <c r="S248" s="469"/>
      <c r="T248" s="423"/>
      <c r="U248" s="423"/>
      <c r="V248" s="405"/>
    </row>
    <row r="249" spans="1:23" x14ac:dyDescent="0.35">
      <c r="A249" s="599"/>
      <c r="B249" s="610" t="s">
        <v>171</v>
      </c>
      <c r="C249" s="611"/>
      <c r="D249" s="611"/>
      <c r="E249" s="611"/>
      <c r="F249" s="627"/>
      <c r="G249" s="611"/>
      <c r="H249" s="611"/>
      <c r="I249" s="611"/>
      <c r="J249" s="611"/>
      <c r="K249" s="611"/>
      <c r="L249" s="611"/>
      <c r="M249" s="611"/>
      <c r="N249" s="611"/>
      <c r="O249" s="611"/>
      <c r="P249" s="627" t="s">
        <v>106</v>
      </c>
      <c r="Q249" s="611" t="s">
        <v>107</v>
      </c>
      <c r="R249" s="627" t="s">
        <v>115</v>
      </c>
      <c r="S249" s="611" t="s">
        <v>107</v>
      </c>
      <c r="T249" s="628"/>
      <c r="U249" s="631"/>
      <c r="V249" s="405"/>
    </row>
    <row r="250" spans="1:23" s="507" customFormat="1" x14ac:dyDescent="0.35">
      <c r="A250" s="508"/>
      <c r="B250" s="571" t="s">
        <v>92</v>
      </c>
      <c r="C250" s="629"/>
      <c r="D250" s="629"/>
      <c r="E250" s="629"/>
      <c r="F250" s="554"/>
      <c r="G250" s="629"/>
      <c r="H250" s="629"/>
      <c r="I250" s="629"/>
      <c r="J250" s="629"/>
      <c r="K250" s="629"/>
      <c r="L250" s="629"/>
      <c r="M250" s="629"/>
      <c r="N250" s="629"/>
      <c r="O250" s="629"/>
      <c r="P250" s="571">
        <v>2366</v>
      </c>
      <c r="Q250" s="632">
        <f t="shared" ref="Q250:Q257" si="5">P250/$P$259</f>
        <v>0.99579124579124578</v>
      </c>
      <c r="R250" s="594">
        <v>312092</v>
      </c>
      <c r="S250" s="632">
        <f t="shared" ref="S250:S257" si="6">R250/$R$259</f>
        <v>0.9956929830718283</v>
      </c>
      <c r="T250" s="625"/>
      <c r="U250" s="630"/>
      <c r="V250" s="506"/>
    </row>
    <row r="251" spans="1:23" s="507" customFormat="1" x14ac:dyDescent="0.35">
      <c r="A251" s="520"/>
      <c r="B251" s="564" t="s">
        <v>93</v>
      </c>
      <c r="C251" s="588"/>
      <c r="D251" s="588"/>
      <c r="E251" s="588"/>
      <c r="F251" s="521"/>
      <c r="G251" s="587"/>
      <c r="H251" s="588"/>
      <c r="I251" s="588"/>
      <c r="J251" s="588"/>
      <c r="K251" s="588"/>
      <c r="L251" s="588"/>
      <c r="M251" s="588"/>
      <c r="N251" s="588"/>
      <c r="O251" s="588"/>
      <c r="P251" s="564">
        <v>3</v>
      </c>
      <c r="Q251" s="587">
        <f t="shared" si="5"/>
        <v>1.2626262626262627E-3</v>
      </c>
      <c r="R251" s="565">
        <v>191</v>
      </c>
      <c r="S251" s="587">
        <f t="shared" si="6"/>
        <v>6.0936313576355429E-4</v>
      </c>
      <c r="T251" s="581"/>
      <c r="U251" s="584"/>
      <c r="V251" s="506"/>
      <c r="W251" s="570"/>
    </row>
    <row r="252" spans="1:23" s="507" customFormat="1" x14ac:dyDescent="0.35">
      <c r="A252" s="520"/>
      <c r="B252" s="564" t="s">
        <v>94</v>
      </c>
      <c r="C252" s="588"/>
      <c r="D252" s="588"/>
      <c r="E252" s="588"/>
      <c r="F252" s="521"/>
      <c r="G252" s="587"/>
      <c r="H252" s="588"/>
      <c r="I252" s="588"/>
      <c r="J252" s="588"/>
      <c r="K252" s="588"/>
      <c r="L252" s="588"/>
      <c r="M252" s="588"/>
      <c r="N252" s="588"/>
      <c r="O252" s="588"/>
      <c r="P252" s="564">
        <v>7</v>
      </c>
      <c r="Q252" s="587">
        <f t="shared" si="5"/>
        <v>2.9461279461279462E-3</v>
      </c>
      <c r="R252" s="565">
        <v>1159</v>
      </c>
      <c r="S252" s="587">
        <f t="shared" si="6"/>
        <v>3.6976537924081647E-3</v>
      </c>
      <c r="T252" s="581"/>
      <c r="U252" s="584"/>
      <c r="V252" s="506"/>
    </row>
    <row r="253" spans="1:23" s="507" customFormat="1" x14ac:dyDescent="0.35">
      <c r="A253" s="520"/>
      <c r="B253" s="564" t="s">
        <v>164</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c r="W253" s="570"/>
    </row>
    <row r="254" spans="1:23" s="507" customFormat="1" x14ac:dyDescent="0.35">
      <c r="A254" s="520"/>
      <c r="B254" s="564" t="s">
        <v>165</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row>
    <row r="255" spans="1:23" s="507" customFormat="1" x14ac:dyDescent="0.35">
      <c r="A255" s="520"/>
      <c r="B255" s="564" t="s">
        <v>166</v>
      </c>
      <c r="C255" s="588"/>
      <c r="D255" s="588"/>
      <c r="E255" s="588"/>
      <c r="F255" s="521"/>
      <c r="G255" s="587"/>
      <c r="H255" s="588"/>
      <c r="I255" s="588"/>
      <c r="J255" s="588"/>
      <c r="K255" s="588"/>
      <c r="L255" s="588"/>
      <c r="M255" s="588"/>
      <c r="N255" s="588"/>
      <c r="O255" s="588"/>
      <c r="P255" s="564">
        <v>0</v>
      </c>
      <c r="Q255" s="587">
        <f t="shared" si="5"/>
        <v>0</v>
      </c>
      <c r="R255" s="565">
        <v>0</v>
      </c>
      <c r="S255" s="587">
        <f t="shared" si="6"/>
        <v>0</v>
      </c>
      <c r="T255" s="581"/>
      <c r="U255" s="584"/>
      <c r="V255" s="506"/>
      <c r="W255" s="570"/>
    </row>
    <row r="256" spans="1:23" s="507" customFormat="1" x14ac:dyDescent="0.35">
      <c r="A256" s="520"/>
      <c r="B256" s="564" t="s">
        <v>167</v>
      </c>
      <c r="C256" s="588"/>
      <c r="D256" s="588"/>
      <c r="E256" s="588"/>
      <c r="F256" s="521"/>
      <c r="G256" s="587"/>
      <c r="H256" s="588"/>
      <c r="I256" s="588"/>
      <c r="J256" s="588"/>
      <c r="K256" s="588"/>
      <c r="L256" s="588"/>
      <c r="M256" s="588"/>
      <c r="N256" s="588"/>
      <c r="O256" s="588"/>
      <c r="P256" s="564">
        <v>0</v>
      </c>
      <c r="Q256" s="587">
        <f t="shared" si="5"/>
        <v>0</v>
      </c>
      <c r="R256" s="565">
        <v>0</v>
      </c>
      <c r="S256" s="587">
        <f t="shared" si="6"/>
        <v>0</v>
      </c>
      <c r="T256" s="581"/>
      <c r="U256" s="584"/>
      <c r="V256" s="506"/>
    </row>
    <row r="257" spans="1:23" s="507" customFormat="1" x14ac:dyDescent="0.35">
      <c r="A257" s="520"/>
      <c r="B257" s="564" t="s">
        <v>168</v>
      </c>
      <c r="C257" s="588"/>
      <c r="D257" s="588"/>
      <c r="E257" s="588"/>
      <c r="F257" s="521"/>
      <c r="G257" s="587"/>
      <c r="H257" s="588"/>
      <c r="I257" s="588"/>
      <c r="J257" s="588"/>
      <c r="K257" s="588"/>
      <c r="L257" s="588"/>
      <c r="M257" s="588"/>
      <c r="N257" s="588"/>
      <c r="O257" s="588"/>
      <c r="P257" s="564">
        <v>0</v>
      </c>
      <c r="Q257" s="587">
        <f t="shared" si="5"/>
        <v>0</v>
      </c>
      <c r="R257" s="565">
        <v>0</v>
      </c>
      <c r="S257" s="587">
        <f t="shared" si="6"/>
        <v>0</v>
      </c>
      <c r="T257" s="581"/>
      <c r="U257" s="584"/>
      <c r="V257" s="506"/>
      <c r="W257" s="570"/>
    </row>
    <row r="258" spans="1:23" s="507" customFormat="1" x14ac:dyDescent="0.35">
      <c r="A258" s="520"/>
      <c r="B258" s="564"/>
      <c r="C258" s="588"/>
      <c r="D258" s="588"/>
      <c r="E258" s="588"/>
      <c r="F258" s="521"/>
      <c r="G258" s="587"/>
      <c r="H258" s="588"/>
      <c r="I258" s="588"/>
      <c r="J258" s="588"/>
      <c r="K258" s="588"/>
      <c r="L258" s="588"/>
      <c r="M258" s="588"/>
      <c r="N258" s="588"/>
      <c r="O258" s="588"/>
      <c r="P258" s="564"/>
      <c r="Q258" s="587"/>
      <c r="R258" s="565"/>
      <c r="S258" s="587"/>
      <c r="T258" s="581"/>
      <c r="U258" s="584"/>
      <c r="V258" s="506"/>
    </row>
    <row r="259" spans="1:23" s="507" customFormat="1" x14ac:dyDescent="0.35">
      <c r="A259" s="520"/>
      <c r="B259" s="521"/>
      <c r="C259" s="521"/>
      <c r="D259" s="521"/>
      <c r="E259" s="521"/>
      <c r="F259" s="521"/>
      <c r="G259" s="521"/>
      <c r="H259" s="590"/>
      <c r="I259" s="590"/>
      <c r="J259" s="590"/>
      <c r="K259" s="590"/>
      <c r="L259" s="590"/>
      <c r="M259" s="590"/>
      <c r="N259" s="590"/>
      <c r="O259" s="590"/>
      <c r="P259" s="564">
        <f>SUM(P250:P258)</f>
        <v>2376</v>
      </c>
      <c r="Q259" s="587">
        <f>SUM(Q250:Q258)</f>
        <v>1</v>
      </c>
      <c r="R259" s="565">
        <f>SUM(R250:R258)</f>
        <v>313442</v>
      </c>
      <c r="S259" s="587">
        <f>SUM(S250:S258)</f>
        <v>1</v>
      </c>
      <c r="T259" s="521"/>
      <c r="U259" s="523"/>
      <c r="V259" s="506"/>
    </row>
    <row r="260" spans="1:23" x14ac:dyDescent="0.35">
      <c r="A260" s="407"/>
      <c r="B260" s="423"/>
      <c r="C260" s="423"/>
      <c r="D260" s="423"/>
      <c r="E260" s="423"/>
      <c r="F260" s="423"/>
      <c r="G260" s="423"/>
      <c r="H260" s="468"/>
      <c r="I260" s="468"/>
      <c r="J260" s="468"/>
      <c r="K260" s="468"/>
      <c r="L260" s="468"/>
      <c r="M260" s="468"/>
      <c r="N260" s="468"/>
      <c r="O260" s="468"/>
      <c r="P260" s="435"/>
      <c r="Q260" s="469"/>
      <c r="R260" s="470"/>
      <c r="S260" s="469"/>
      <c r="T260" s="423"/>
      <c r="U260" s="423"/>
      <c r="V260" s="405"/>
    </row>
    <row r="261" spans="1:23" x14ac:dyDescent="0.35">
      <c r="A261" s="599"/>
      <c r="B261" s="610" t="s">
        <v>275</v>
      </c>
      <c r="C261" s="611"/>
      <c r="D261" s="611"/>
      <c r="E261" s="611"/>
      <c r="F261" s="627"/>
      <c r="G261" s="611"/>
      <c r="H261" s="611"/>
      <c r="I261" s="611"/>
      <c r="J261" s="611"/>
      <c r="K261" s="611"/>
      <c r="L261" s="611"/>
      <c r="M261" s="611"/>
      <c r="N261" s="611"/>
      <c r="O261" s="611"/>
      <c r="P261" s="627" t="s">
        <v>106</v>
      </c>
      <c r="Q261" s="611" t="s">
        <v>107</v>
      </c>
      <c r="R261" s="627" t="s">
        <v>115</v>
      </c>
      <c r="S261" s="611" t="s">
        <v>107</v>
      </c>
      <c r="T261" s="628"/>
      <c r="U261" s="614"/>
      <c r="V261" s="405"/>
    </row>
    <row r="262" spans="1:23" s="507" customFormat="1" x14ac:dyDescent="0.35">
      <c r="A262" s="508"/>
      <c r="B262" s="571" t="s">
        <v>92</v>
      </c>
      <c r="C262" s="629"/>
      <c r="D262" s="629"/>
      <c r="E262" s="629"/>
      <c r="F262" s="554"/>
      <c r="G262" s="629"/>
      <c r="H262" s="629"/>
      <c r="I262" s="629"/>
      <c r="J262" s="629"/>
      <c r="K262" s="629"/>
      <c r="L262" s="629"/>
      <c r="M262" s="629"/>
      <c r="N262" s="629"/>
      <c r="O262" s="629"/>
      <c r="P262" s="571">
        <v>51</v>
      </c>
      <c r="Q262" s="632">
        <f t="shared" ref="Q262:Q269" si="7">P262/$P$271</f>
        <v>0.87931034482758619</v>
      </c>
      <c r="R262" s="594">
        <v>7877</v>
      </c>
      <c r="S262" s="632">
        <f t="shared" ref="S262:S269" si="8">R262/$R$271</f>
        <v>0.85147551616041506</v>
      </c>
      <c r="T262" s="554"/>
      <c r="U262" s="554"/>
      <c r="V262" s="506"/>
    </row>
    <row r="263" spans="1:23" s="507" customFormat="1" x14ac:dyDescent="0.35">
      <c r="A263" s="520"/>
      <c r="B263" s="564" t="s">
        <v>93</v>
      </c>
      <c r="C263" s="588"/>
      <c r="D263" s="588"/>
      <c r="E263" s="588"/>
      <c r="F263" s="521"/>
      <c r="G263" s="587"/>
      <c r="H263" s="588"/>
      <c r="I263" s="588"/>
      <c r="J263" s="588"/>
      <c r="K263" s="588"/>
      <c r="L263" s="588"/>
      <c r="M263" s="588"/>
      <c r="N263" s="588"/>
      <c r="O263" s="588"/>
      <c r="P263" s="564">
        <v>3</v>
      </c>
      <c r="Q263" s="587">
        <f t="shared" si="7"/>
        <v>5.1724137931034482E-2</v>
      </c>
      <c r="R263" s="565">
        <v>877</v>
      </c>
      <c r="S263" s="587">
        <f t="shared" si="8"/>
        <v>9.4800562101394439E-2</v>
      </c>
      <c r="T263" s="521"/>
      <c r="U263" s="523"/>
      <c r="V263" s="506"/>
    </row>
    <row r="264" spans="1:23" s="507" customFormat="1" x14ac:dyDescent="0.35">
      <c r="A264" s="520"/>
      <c r="B264" s="564" t="s">
        <v>94</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3" s="507" customFormat="1" x14ac:dyDescent="0.35">
      <c r="A265" s="520"/>
      <c r="B265" s="564" t="s">
        <v>164</v>
      </c>
      <c r="C265" s="588"/>
      <c r="D265" s="588"/>
      <c r="E265" s="588"/>
      <c r="F265" s="521"/>
      <c r="G265" s="587"/>
      <c r="H265" s="588"/>
      <c r="I265" s="588"/>
      <c r="J265" s="588"/>
      <c r="K265" s="588"/>
      <c r="L265" s="588"/>
      <c r="M265" s="588"/>
      <c r="N265" s="588"/>
      <c r="O265" s="588"/>
      <c r="P265" s="564">
        <v>1</v>
      </c>
      <c r="Q265" s="587">
        <f t="shared" si="7"/>
        <v>1.7241379310344827E-2</v>
      </c>
      <c r="R265" s="565">
        <v>128</v>
      </c>
      <c r="S265" s="587">
        <f t="shared" si="8"/>
        <v>1.3836342017079235E-2</v>
      </c>
      <c r="T265" s="521"/>
      <c r="U265" s="523"/>
      <c r="V265" s="506"/>
    </row>
    <row r="266" spans="1:23" s="507" customFormat="1" x14ac:dyDescent="0.35">
      <c r="A266" s="520"/>
      <c r="B266" s="564" t="s">
        <v>165</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3" s="507" customFormat="1" x14ac:dyDescent="0.35">
      <c r="A267" s="520"/>
      <c r="B267" s="564" t="s">
        <v>166</v>
      </c>
      <c r="C267" s="588"/>
      <c r="D267" s="588"/>
      <c r="E267" s="588"/>
      <c r="F267" s="521"/>
      <c r="G267" s="587"/>
      <c r="H267" s="588"/>
      <c r="I267" s="588"/>
      <c r="J267" s="588"/>
      <c r="K267" s="588"/>
      <c r="L267" s="588"/>
      <c r="M267" s="588"/>
      <c r="N267" s="588"/>
      <c r="O267" s="588"/>
      <c r="P267" s="564">
        <v>0</v>
      </c>
      <c r="Q267" s="587">
        <f t="shared" si="7"/>
        <v>0</v>
      </c>
      <c r="R267" s="565">
        <v>0</v>
      </c>
      <c r="S267" s="587">
        <f t="shared" si="8"/>
        <v>0</v>
      </c>
      <c r="T267" s="521"/>
      <c r="U267" s="523"/>
      <c r="V267" s="506"/>
    </row>
    <row r="268" spans="1:23" s="507" customFormat="1" x14ac:dyDescent="0.35">
      <c r="A268" s="520"/>
      <c r="B268" s="564" t="s">
        <v>167</v>
      </c>
      <c r="C268" s="588"/>
      <c r="D268" s="588"/>
      <c r="E268" s="588"/>
      <c r="F268" s="521"/>
      <c r="G268" s="587"/>
      <c r="H268" s="588"/>
      <c r="I268" s="588"/>
      <c r="J268" s="588"/>
      <c r="K268" s="588"/>
      <c r="L268" s="588"/>
      <c r="M268" s="588"/>
      <c r="N268" s="588"/>
      <c r="O268" s="588"/>
      <c r="P268" s="564">
        <v>1</v>
      </c>
      <c r="Q268" s="587">
        <f t="shared" si="7"/>
        <v>1.7241379310344827E-2</v>
      </c>
      <c r="R268" s="565">
        <v>87</v>
      </c>
      <c r="S268" s="587">
        <f t="shared" si="8"/>
        <v>9.4043887147335428E-3</v>
      </c>
      <c r="T268" s="521"/>
      <c r="U268" s="523"/>
      <c r="V268" s="506"/>
    </row>
    <row r="269" spans="1:23" s="507" customFormat="1" x14ac:dyDescent="0.35">
      <c r="A269" s="520"/>
      <c r="B269" s="564" t="s">
        <v>168</v>
      </c>
      <c r="C269" s="588"/>
      <c r="D269" s="588"/>
      <c r="E269" s="588"/>
      <c r="F269" s="521"/>
      <c r="G269" s="587"/>
      <c r="H269" s="588"/>
      <c r="I269" s="588"/>
      <c r="J269" s="588"/>
      <c r="K269" s="588"/>
      <c r="L269" s="588"/>
      <c r="M269" s="588"/>
      <c r="N269" s="588"/>
      <c r="O269" s="588"/>
      <c r="P269" s="564">
        <v>2</v>
      </c>
      <c r="Q269" s="587">
        <f t="shared" si="7"/>
        <v>3.4482758620689655E-2</v>
      </c>
      <c r="R269" s="565">
        <v>282</v>
      </c>
      <c r="S269" s="587">
        <f t="shared" si="8"/>
        <v>3.048319100637769E-2</v>
      </c>
      <c r="T269" s="521"/>
      <c r="U269" s="523"/>
      <c r="V269" s="506"/>
    </row>
    <row r="270" spans="1:23" s="507" customFormat="1" x14ac:dyDescent="0.35">
      <c r="A270" s="520"/>
      <c r="B270" s="564"/>
      <c r="C270" s="588"/>
      <c r="D270" s="588"/>
      <c r="E270" s="588"/>
      <c r="F270" s="521"/>
      <c r="G270" s="587"/>
      <c r="H270" s="588"/>
      <c r="I270" s="588"/>
      <c r="J270" s="588"/>
      <c r="K270" s="588"/>
      <c r="L270" s="588"/>
      <c r="M270" s="588"/>
      <c r="N270" s="588"/>
      <c r="O270" s="588"/>
      <c r="P270" s="564"/>
      <c r="Q270" s="587"/>
      <c r="R270" s="565"/>
      <c r="S270" s="587"/>
      <c r="T270" s="521"/>
      <c r="U270" s="523"/>
      <c r="V270" s="506"/>
    </row>
    <row r="271" spans="1:23" s="507" customFormat="1" x14ac:dyDescent="0.35">
      <c r="A271" s="520"/>
      <c r="B271" s="521"/>
      <c r="C271" s="521"/>
      <c r="D271" s="521"/>
      <c r="E271" s="521"/>
      <c r="F271" s="521"/>
      <c r="G271" s="521"/>
      <c r="H271" s="590"/>
      <c r="I271" s="590"/>
      <c r="J271" s="590"/>
      <c r="K271" s="590"/>
      <c r="L271" s="590"/>
      <c r="M271" s="590"/>
      <c r="N271" s="590"/>
      <c r="O271" s="590"/>
      <c r="P271" s="564">
        <f>SUM(P262:P270)</f>
        <v>58</v>
      </c>
      <c r="Q271" s="587">
        <f>SUM(Q262:Q270)</f>
        <v>1</v>
      </c>
      <c r="R271" s="565">
        <f>SUM(R262:R270)</f>
        <v>9251</v>
      </c>
      <c r="S271" s="587">
        <f>SUM(S262:S270)</f>
        <v>1</v>
      </c>
      <c r="T271" s="521"/>
      <c r="U271" s="523"/>
      <c r="V271" s="506"/>
    </row>
    <row r="272" spans="1:23" x14ac:dyDescent="0.35">
      <c r="A272" s="407"/>
      <c r="B272" s="423"/>
      <c r="C272" s="423"/>
      <c r="D272" s="423"/>
      <c r="E272" s="423"/>
      <c r="F272" s="423"/>
      <c r="G272" s="423"/>
      <c r="H272" s="468"/>
      <c r="I272" s="468"/>
      <c r="J272" s="468"/>
      <c r="K272" s="468"/>
      <c r="L272" s="468"/>
      <c r="M272" s="468"/>
      <c r="N272" s="468"/>
      <c r="O272" s="468"/>
      <c r="P272" s="435"/>
      <c r="Q272" s="469"/>
      <c r="R272" s="470"/>
      <c r="S272" s="469"/>
      <c r="T272" s="423"/>
      <c r="U272" s="423"/>
      <c r="V272" s="405"/>
    </row>
    <row r="273" spans="1:22" x14ac:dyDescent="0.35">
      <c r="A273" s="599"/>
      <c r="B273" s="610" t="s">
        <v>173</v>
      </c>
      <c r="C273" s="628"/>
      <c r="D273" s="628"/>
      <c r="E273" s="628"/>
      <c r="F273" s="628"/>
      <c r="G273" s="628"/>
      <c r="H273" s="633"/>
      <c r="I273" s="633"/>
      <c r="J273" s="633"/>
      <c r="K273" s="633"/>
      <c r="L273" s="633"/>
      <c r="M273" s="633"/>
      <c r="N273" s="633"/>
      <c r="O273" s="633"/>
      <c r="P273" s="627" t="s">
        <v>106</v>
      </c>
      <c r="Q273" s="611" t="s">
        <v>107</v>
      </c>
      <c r="R273" s="627" t="s">
        <v>115</v>
      </c>
      <c r="S273" s="611" t="s">
        <v>107</v>
      </c>
      <c r="T273" s="628"/>
      <c r="U273" s="614"/>
      <c r="V273" s="405"/>
    </row>
    <row r="274" spans="1:22" s="507" customFormat="1" x14ac:dyDescent="0.35">
      <c r="A274" s="508"/>
      <c r="B274" s="571" t="s">
        <v>92</v>
      </c>
      <c r="C274" s="554"/>
      <c r="D274" s="554"/>
      <c r="E274" s="554"/>
      <c r="F274" s="554"/>
      <c r="G274" s="554"/>
      <c r="H274" s="593"/>
      <c r="I274" s="593"/>
      <c r="J274" s="593"/>
      <c r="K274" s="593"/>
      <c r="L274" s="593"/>
      <c r="M274" s="593"/>
      <c r="N274" s="593"/>
      <c r="O274" s="593"/>
      <c r="P274" s="571">
        <v>0</v>
      </c>
      <c r="Q274" s="632">
        <v>0</v>
      </c>
      <c r="R274" s="594">
        <v>0</v>
      </c>
      <c r="S274" s="632">
        <v>0</v>
      </c>
      <c r="T274" s="554"/>
      <c r="U274" s="554"/>
      <c r="V274" s="506"/>
    </row>
    <row r="275" spans="1:22" s="507" customFormat="1" x14ac:dyDescent="0.35">
      <c r="A275" s="520"/>
      <c r="B275" s="564" t="s">
        <v>93</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94</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164</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165</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t="s">
        <v>166</v>
      </c>
      <c r="C279" s="521"/>
      <c r="D279" s="521"/>
      <c r="E279" s="521"/>
      <c r="F279" s="521"/>
      <c r="G279" s="521"/>
      <c r="H279" s="590"/>
      <c r="I279" s="590"/>
      <c r="J279" s="590"/>
      <c r="K279" s="590"/>
      <c r="L279" s="590"/>
      <c r="M279" s="590"/>
      <c r="N279" s="590"/>
      <c r="O279" s="590"/>
      <c r="P279" s="564">
        <v>0</v>
      </c>
      <c r="Q279" s="587">
        <v>0</v>
      </c>
      <c r="R279" s="565">
        <v>0</v>
      </c>
      <c r="S279" s="587">
        <v>0</v>
      </c>
      <c r="T279" s="521"/>
      <c r="U279" s="523"/>
      <c r="V279" s="506"/>
    </row>
    <row r="280" spans="1:22" s="507" customFormat="1" x14ac:dyDescent="0.35">
      <c r="A280" s="520"/>
      <c r="B280" s="564" t="s">
        <v>167</v>
      </c>
      <c r="C280" s="521"/>
      <c r="D280" s="521"/>
      <c r="E280" s="521"/>
      <c r="F280" s="521"/>
      <c r="G280" s="521"/>
      <c r="H280" s="590"/>
      <c r="I280" s="590"/>
      <c r="J280" s="590"/>
      <c r="K280" s="590"/>
      <c r="L280" s="590"/>
      <c r="M280" s="590"/>
      <c r="N280" s="590"/>
      <c r="O280" s="590"/>
      <c r="P280" s="564">
        <v>0</v>
      </c>
      <c r="Q280" s="587">
        <v>0</v>
      </c>
      <c r="R280" s="565">
        <v>0</v>
      </c>
      <c r="S280" s="587">
        <v>0</v>
      </c>
      <c r="T280" s="521"/>
      <c r="U280" s="523"/>
      <c r="V280" s="506"/>
    </row>
    <row r="281" spans="1:22" s="507" customFormat="1" x14ac:dyDescent="0.35">
      <c r="A281" s="520"/>
      <c r="B281" s="564" t="s">
        <v>168</v>
      </c>
      <c r="C281" s="521"/>
      <c r="D281" s="521"/>
      <c r="E281" s="521"/>
      <c r="F281" s="521"/>
      <c r="G281" s="521"/>
      <c r="H281" s="590"/>
      <c r="I281" s="590"/>
      <c r="J281" s="590"/>
      <c r="K281" s="590"/>
      <c r="L281" s="590"/>
      <c r="M281" s="590"/>
      <c r="N281" s="590"/>
      <c r="O281" s="590"/>
      <c r="P281" s="564">
        <v>0</v>
      </c>
      <c r="Q281" s="587">
        <v>0</v>
      </c>
      <c r="R281" s="565">
        <v>0</v>
      </c>
      <c r="S281" s="587">
        <v>0</v>
      </c>
      <c r="T281" s="521"/>
      <c r="U281" s="523"/>
      <c r="V281" s="506"/>
    </row>
    <row r="282" spans="1:22" s="507" customFormat="1" x14ac:dyDescent="0.35">
      <c r="A282" s="520"/>
      <c r="B282" s="564"/>
      <c r="C282" s="521"/>
      <c r="D282" s="521"/>
      <c r="E282" s="521"/>
      <c r="F282" s="521"/>
      <c r="G282" s="521"/>
      <c r="H282" s="590"/>
      <c r="I282" s="590"/>
      <c r="J282" s="590"/>
      <c r="K282" s="590"/>
      <c r="L282" s="590"/>
      <c r="M282" s="590"/>
      <c r="N282" s="590"/>
      <c r="O282" s="590"/>
      <c r="P282" s="564"/>
      <c r="Q282" s="587"/>
      <c r="R282" s="565"/>
      <c r="S282" s="587"/>
      <c r="T282" s="521"/>
      <c r="U282" s="523"/>
      <c r="V282" s="506"/>
    </row>
    <row r="283" spans="1:22" s="507" customFormat="1" x14ac:dyDescent="0.35">
      <c r="A283" s="520"/>
      <c r="B283" s="521" t="s">
        <v>121</v>
      </c>
      <c r="C283" s="521"/>
      <c r="D283" s="521"/>
      <c r="E283" s="521"/>
      <c r="F283" s="521"/>
      <c r="G283" s="521"/>
      <c r="H283" s="590"/>
      <c r="I283" s="590"/>
      <c r="J283" s="590"/>
      <c r="K283" s="590"/>
      <c r="L283" s="590"/>
      <c r="M283" s="590"/>
      <c r="N283" s="590"/>
      <c r="O283" s="590"/>
      <c r="P283" s="564">
        <f>SUM(P274:P281)</f>
        <v>0</v>
      </c>
      <c r="Q283" s="587">
        <f>SUM(Q274:Q281)</f>
        <v>0</v>
      </c>
      <c r="R283" s="565">
        <f>SUM(R274:R281)</f>
        <v>0</v>
      </c>
      <c r="S283" s="587">
        <f>SUM(S274:S281)</f>
        <v>0</v>
      </c>
      <c r="T283" s="521"/>
      <c r="U283" s="523"/>
      <c r="V283" s="506"/>
    </row>
    <row r="284" spans="1:22" s="507" customFormat="1" x14ac:dyDescent="0.35">
      <c r="A284" s="520"/>
      <c r="B284" s="521"/>
      <c r="C284" s="521"/>
      <c r="D284" s="521"/>
      <c r="E284" s="521"/>
      <c r="F284" s="521"/>
      <c r="G284" s="521"/>
      <c r="H284" s="590"/>
      <c r="I284" s="590"/>
      <c r="J284" s="590"/>
      <c r="K284" s="590"/>
      <c r="L284" s="590"/>
      <c r="M284" s="590"/>
      <c r="N284" s="590"/>
      <c r="O284" s="590"/>
      <c r="P284" s="564"/>
      <c r="Q284" s="587"/>
      <c r="R284" s="565"/>
      <c r="S284" s="587"/>
      <c r="T284" s="521"/>
      <c r="U284" s="523"/>
      <c r="V284" s="506"/>
    </row>
    <row r="285" spans="1:22" s="507" customFormat="1" x14ac:dyDescent="0.35">
      <c r="A285" s="520"/>
      <c r="B285" s="526" t="s">
        <v>174</v>
      </c>
      <c r="C285" s="521"/>
      <c r="D285" s="521"/>
      <c r="E285" s="521"/>
      <c r="F285" s="521"/>
      <c r="G285" s="521"/>
      <c r="H285" s="590"/>
      <c r="I285" s="590"/>
      <c r="J285" s="590"/>
      <c r="K285" s="590"/>
      <c r="L285" s="590"/>
      <c r="M285" s="590"/>
      <c r="N285" s="590"/>
      <c r="O285" s="590"/>
      <c r="P285" s="591">
        <f>P283+P271+P259</f>
        <v>2434</v>
      </c>
      <c r="Q285" s="587"/>
      <c r="R285" s="592">
        <f>+R283+R271+R259</f>
        <v>322693</v>
      </c>
      <c r="S285" s="587"/>
      <c r="T285" s="521"/>
      <c r="U285" s="523"/>
      <c r="V285" s="506"/>
    </row>
    <row r="286" spans="1:22" s="507" customFormat="1" x14ac:dyDescent="0.35">
      <c r="A286" s="508"/>
      <c r="B286" s="554"/>
      <c r="C286" s="554"/>
      <c r="D286" s="554"/>
      <c r="E286" s="554"/>
      <c r="F286" s="554"/>
      <c r="G286" s="554"/>
      <c r="H286" s="593"/>
      <c r="I286" s="593"/>
      <c r="J286" s="593"/>
      <c r="K286" s="593"/>
      <c r="L286" s="593"/>
      <c r="M286" s="593"/>
      <c r="N286" s="593"/>
      <c r="O286" s="593"/>
      <c r="P286" s="593"/>
      <c r="Q286" s="593"/>
      <c r="R286" s="594"/>
      <c r="S286" s="593"/>
      <c r="T286" s="554"/>
      <c r="U286" s="554"/>
      <c r="V286" s="506"/>
    </row>
    <row r="287" spans="1:22" s="507" customFormat="1" x14ac:dyDescent="0.35">
      <c r="A287" s="508"/>
      <c r="B287" s="509"/>
      <c r="C287" s="509"/>
      <c r="D287" s="509"/>
      <c r="E287" s="509"/>
      <c r="F287" s="509"/>
      <c r="G287" s="509"/>
      <c r="H287" s="595"/>
      <c r="I287" s="595"/>
      <c r="J287" s="595"/>
      <c r="K287" s="595"/>
      <c r="L287" s="595"/>
      <c r="M287" s="595"/>
      <c r="N287" s="595"/>
      <c r="O287" s="595"/>
      <c r="P287" s="595"/>
      <c r="Q287" s="595"/>
      <c r="R287" s="596"/>
      <c r="S287" s="595"/>
      <c r="T287" s="509"/>
      <c r="U287" s="509"/>
      <c r="V287" s="506"/>
    </row>
    <row r="288" spans="1:22" s="507" customFormat="1" x14ac:dyDescent="0.35">
      <c r="A288" s="508"/>
      <c r="B288" s="503" t="s">
        <v>95</v>
      </c>
      <c r="C288" s="509"/>
      <c r="D288" s="509"/>
      <c r="E288" s="509"/>
      <c r="F288" s="514" t="s">
        <v>101</v>
      </c>
      <c r="G288" s="509"/>
      <c r="H288" s="503" t="s">
        <v>103</v>
      </c>
      <c r="I288" s="509"/>
      <c r="J288" s="509"/>
      <c r="K288" s="509"/>
      <c r="L288" s="509"/>
      <c r="M288" s="509"/>
      <c r="N288" s="509"/>
      <c r="O288" s="509"/>
      <c r="P288" s="509"/>
      <c r="Q288" s="509"/>
      <c r="R288" s="509"/>
      <c r="S288" s="509"/>
      <c r="T288" s="509"/>
      <c r="U288" s="509"/>
      <c r="V288" s="506"/>
    </row>
    <row r="289" spans="1:22" s="507" customFormat="1" x14ac:dyDescent="0.35">
      <c r="A289" s="508"/>
      <c r="B289" s="503" t="s">
        <v>330</v>
      </c>
      <c r="C289" s="503"/>
      <c r="D289" s="503"/>
      <c r="E289" s="503"/>
      <c r="F289" s="597" t="s">
        <v>278</v>
      </c>
      <c r="G289" s="503"/>
      <c r="H289" s="476" t="s">
        <v>362</v>
      </c>
      <c r="I289" s="509"/>
      <c r="J289" s="509"/>
      <c r="K289" s="509"/>
      <c r="L289" s="509"/>
      <c r="M289" s="509"/>
      <c r="N289" s="509"/>
      <c r="O289" s="509"/>
      <c r="P289" s="509"/>
      <c r="Q289" s="509"/>
      <c r="R289" s="509"/>
      <c r="S289" s="509"/>
      <c r="T289" s="509"/>
      <c r="U289" s="509"/>
      <c r="V289" s="506"/>
    </row>
    <row r="290" spans="1:22" s="507" customFormat="1" x14ac:dyDescent="0.35">
      <c r="A290" s="508"/>
      <c r="B290" s="503" t="s">
        <v>331</v>
      </c>
      <c r="C290" s="503"/>
      <c r="D290" s="503"/>
      <c r="E290" s="503"/>
      <c r="F290" s="597" t="s">
        <v>154</v>
      </c>
      <c r="G290" s="503"/>
      <c r="H290" s="476" t="s">
        <v>363</v>
      </c>
      <c r="I290" s="509"/>
      <c r="J290" s="509"/>
      <c r="K290" s="509"/>
      <c r="L290" s="509"/>
      <c r="M290" s="509"/>
      <c r="N290" s="509"/>
      <c r="O290" s="509"/>
      <c r="P290" s="509"/>
      <c r="Q290" s="509"/>
      <c r="R290" s="509"/>
      <c r="S290" s="509"/>
      <c r="T290" s="509"/>
      <c r="U290" s="509"/>
      <c r="V290" s="506"/>
    </row>
    <row r="291" spans="1:22" s="507" customFormat="1" x14ac:dyDescent="0.35">
      <c r="A291" s="508"/>
      <c r="B291" s="503"/>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358</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s="507" customFormat="1" x14ac:dyDescent="0.35">
      <c r="A293" s="508"/>
      <c r="B293" s="554" t="s">
        <v>364</v>
      </c>
      <c r="C293" s="503"/>
      <c r="D293" s="503"/>
      <c r="E293" s="503"/>
      <c r="F293" s="597"/>
      <c r="G293" s="503"/>
      <c r="H293" s="503"/>
      <c r="I293" s="509"/>
      <c r="J293" s="509"/>
      <c r="K293" s="509"/>
      <c r="L293" s="509"/>
      <c r="M293" s="509"/>
      <c r="N293" s="509"/>
      <c r="O293" s="509"/>
      <c r="P293" s="509"/>
      <c r="Q293" s="509"/>
      <c r="R293" s="509"/>
      <c r="S293" s="509"/>
      <c r="T293" s="509"/>
      <c r="U293" s="509"/>
      <c r="V293" s="506"/>
    </row>
    <row r="294" spans="1:22" s="507" customFormat="1" x14ac:dyDescent="0.35">
      <c r="A294" s="508"/>
      <c r="B294" s="554" t="s">
        <v>357</v>
      </c>
      <c r="C294" s="503"/>
      <c r="D294" s="503"/>
      <c r="E294" s="503"/>
      <c r="F294" s="597"/>
      <c r="G294" s="503"/>
      <c r="H294" s="503"/>
      <c r="I294" s="509"/>
      <c r="J294" s="509"/>
      <c r="K294" s="509"/>
      <c r="L294" s="509"/>
      <c r="M294" s="509"/>
      <c r="N294" s="509"/>
      <c r="O294" s="509"/>
      <c r="P294" s="509"/>
      <c r="Q294" s="509"/>
      <c r="R294" s="509"/>
      <c r="S294" s="509"/>
      <c r="T294" s="509"/>
      <c r="U294" s="509"/>
      <c r="V294" s="506"/>
    </row>
    <row r="295" spans="1:22" s="507" customFormat="1" x14ac:dyDescent="0.35">
      <c r="A295" s="508"/>
      <c r="B295" s="554" t="s">
        <v>356</v>
      </c>
      <c r="C295" s="503"/>
      <c r="D295" s="503"/>
      <c r="E295" s="503"/>
      <c r="F295" s="597"/>
      <c r="G295" s="503"/>
      <c r="H295" s="503"/>
      <c r="I295" s="509"/>
      <c r="J295" s="509"/>
      <c r="K295" s="509"/>
      <c r="L295" s="509"/>
      <c r="M295" s="509"/>
      <c r="N295" s="509"/>
      <c r="O295" s="509"/>
      <c r="P295" s="509"/>
      <c r="Q295" s="509"/>
      <c r="R295" s="509"/>
      <c r="S295" s="509"/>
      <c r="T295" s="509"/>
      <c r="U295" s="509"/>
      <c r="V295" s="506"/>
    </row>
    <row r="296" spans="1:22" x14ac:dyDescent="0.35">
      <c r="A296" s="407"/>
      <c r="B296" s="423"/>
      <c r="C296" s="414"/>
      <c r="D296" s="414"/>
      <c r="E296" s="414"/>
      <c r="F296" s="471"/>
      <c r="G296" s="414"/>
      <c r="H296" s="414"/>
      <c r="I296" s="424"/>
      <c r="J296" s="424"/>
      <c r="K296" s="424"/>
      <c r="L296" s="424"/>
      <c r="M296" s="424"/>
      <c r="N296" s="424"/>
      <c r="O296" s="424"/>
      <c r="P296" s="424"/>
      <c r="Q296" s="424"/>
      <c r="R296" s="424"/>
      <c r="S296" s="424"/>
      <c r="T296" s="424"/>
      <c r="U296" s="424"/>
      <c r="V296" s="405"/>
    </row>
    <row r="297" spans="1:22" ht="18.5" x14ac:dyDescent="0.45">
      <c r="A297" s="407"/>
      <c r="B297" s="477" t="s">
        <v>359</v>
      </c>
      <c r="C297" s="414"/>
      <c r="D297" s="414"/>
      <c r="E297" s="414"/>
      <c r="F297" s="414"/>
      <c r="G297" s="414"/>
      <c r="H297" s="424"/>
      <c r="I297" s="424"/>
      <c r="J297" s="424"/>
      <c r="K297" s="424"/>
      <c r="L297" s="409"/>
      <c r="M297" s="409"/>
      <c r="N297" s="472"/>
      <c r="O297" s="409"/>
      <c r="P297" s="474" t="s">
        <v>361</v>
      </c>
      <c r="Q297" s="424"/>
      <c r="R297" s="424"/>
      <c r="S297" s="424"/>
      <c r="T297" s="424"/>
      <c r="U297" s="424"/>
      <c r="V297" s="405"/>
    </row>
    <row r="298" spans="1:22" x14ac:dyDescent="0.35">
      <c r="A298" s="407"/>
      <c r="B298" s="414"/>
      <c r="C298" s="414"/>
      <c r="D298" s="414"/>
      <c r="E298" s="414"/>
      <c r="F298" s="414"/>
      <c r="G298" s="414"/>
      <c r="H298" s="424"/>
      <c r="I298" s="424"/>
      <c r="J298" s="424"/>
      <c r="K298" s="424"/>
      <c r="L298" s="424"/>
      <c r="M298" s="424"/>
      <c r="N298" s="424"/>
      <c r="O298" s="424"/>
      <c r="P298" s="424"/>
      <c r="Q298" s="424"/>
      <c r="R298" s="424"/>
      <c r="S298" s="424"/>
      <c r="T298" s="424"/>
      <c r="U298" s="424"/>
      <c r="V298" s="405"/>
    </row>
    <row r="299" spans="1:22" ht="19" thickBot="1" x14ac:dyDescent="0.5">
      <c r="A299" s="407"/>
      <c r="B299" s="598" t="str">
        <f>B199</f>
        <v>PM10 INVESTOR REPORT QUARTER ENDING AUGUST 2019</v>
      </c>
      <c r="C299" s="414"/>
      <c r="D299" s="414"/>
      <c r="E299" s="414"/>
      <c r="F299" s="414"/>
      <c r="G299" s="414"/>
      <c r="H299" s="424"/>
      <c r="I299" s="424"/>
      <c r="J299" s="424"/>
      <c r="K299" s="424"/>
      <c r="L299" s="424"/>
      <c r="M299" s="424"/>
      <c r="N299" s="424"/>
      <c r="O299" s="424"/>
      <c r="P299" s="424"/>
      <c r="Q299" s="424"/>
      <c r="R299" s="424"/>
      <c r="S299" s="424"/>
      <c r="T299" s="424"/>
      <c r="U299" s="424"/>
      <c r="V299" s="405"/>
    </row>
    <row r="300" spans="1:22" x14ac:dyDescent="0.35">
      <c r="A300" s="473"/>
      <c r="B300" s="473"/>
      <c r="C300" s="473"/>
      <c r="D300" s="473"/>
      <c r="E300" s="473"/>
      <c r="F300" s="473"/>
      <c r="G300" s="473"/>
      <c r="H300" s="473"/>
      <c r="I300" s="473"/>
      <c r="J300" s="473"/>
      <c r="K300" s="473"/>
      <c r="L300" s="473"/>
      <c r="M300" s="473"/>
      <c r="N300" s="473"/>
      <c r="O300" s="473"/>
      <c r="P300" s="473"/>
      <c r="Q300" s="473"/>
      <c r="R300" s="473"/>
      <c r="S300" s="473"/>
      <c r="T300" s="473"/>
      <c r="U300" s="473"/>
    </row>
  </sheetData>
  <hyperlinks>
    <hyperlink ref="J9" r:id="rId1" xr:uid="{62FD4CF4-3864-44E7-8DA1-F7E4FED630FE}"/>
    <hyperlink ref="N235" r:id="rId2" xr:uid="{2914D580-DC68-471A-A651-66ABFC5E0832}"/>
    <hyperlink ref="P297" r:id="rId3" xr:uid="{3470D33C-051B-4295-BF8A-21C0AC283491}"/>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8" max="14" man="1"/>
    <brk id="199" max="14"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A7BC-9E28-40D2-BAB7-F24968720BA3}">
  <sheetPr>
    <tabColor rgb="FF89CB31"/>
  </sheetPr>
  <dimension ref="A1:Z300"/>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0.69410000000000005</v>
      </c>
      <c r="R16" s="514" t="s">
        <v>147</v>
      </c>
      <c r="S16" s="513">
        <v>0.30590000000000001</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43818</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175</v>
      </c>
      <c r="K27" s="525"/>
      <c r="L27" s="525" t="s">
        <v>175</v>
      </c>
      <c r="M27" s="525"/>
      <c r="N27" s="525" t="s">
        <v>320</v>
      </c>
      <c r="O27" s="525"/>
      <c r="P27" s="525" t="s">
        <v>320</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151</v>
      </c>
      <c r="O28" s="525"/>
      <c r="P28" s="525" t="s">
        <v>151</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0</v>
      </c>
      <c r="E32" s="528"/>
      <c r="F32" s="529">
        <f>F31*F38</f>
        <v>102445.245</v>
      </c>
      <c r="G32" s="529"/>
      <c r="H32" s="533">
        <f>H31*H38</f>
        <v>216598.51800000001</v>
      </c>
      <c r="I32" s="529"/>
      <c r="J32" s="529">
        <f>J31*J38</f>
        <v>20049.498000000003</v>
      </c>
      <c r="K32" s="529"/>
      <c r="L32" s="533">
        <f>L31*L38</f>
        <v>12611.781000000001</v>
      </c>
      <c r="M32" s="529"/>
      <c r="N32" s="534">
        <f>N31*N38</f>
        <v>33308.037000000004</v>
      </c>
      <c r="O32" s="529"/>
      <c r="P32" s="533">
        <f>P31*P38</f>
        <v>17785.845000000001</v>
      </c>
      <c r="Q32" s="529"/>
      <c r="R32" s="529"/>
      <c r="S32" s="528"/>
      <c r="T32" s="529"/>
      <c r="U32" s="530"/>
      <c r="V32" s="506"/>
    </row>
    <row r="33" spans="1:26" s="507" customFormat="1" x14ac:dyDescent="0.35">
      <c r="A33" s="520"/>
      <c r="B33" s="526" t="s">
        <v>141</v>
      </c>
      <c r="C33" s="528"/>
      <c r="D33" s="536">
        <f>D34*D37</f>
        <v>0</v>
      </c>
      <c r="E33" s="531"/>
      <c r="F33" s="535">
        <f>F37*F31</f>
        <v>100225.818</v>
      </c>
      <c r="G33" s="535"/>
      <c r="H33" s="537">
        <f>H31*H37</f>
        <v>211906.01519999999</v>
      </c>
      <c r="I33" s="535"/>
      <c r="J33" s="535">
        <f>J31*J37</f>
        <v>19615.1384</v>
      </c>
      <c r="K33" s="535"/>
      <c r="L33" s="537">
        <f>L31*L37</f>
        <v>12338.554800000002</v>
      </c>
      <c r="M33" s="535"/>
      <c r="N33" s="535">
        <f>N31*N37</f>
        <v>32586.439600000002</v>
      </c>
      <c r="O33" s="535"/>
      <c r="P33" s="537">
        <f>P31*P37</f>
        <v>17400.526000000002</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0</v>
      </c>
      <c r="E35" s="528"/>
      <c r="F35" s="529">
        <f>F34*F38</f>
        <v>102445.245</v>
      </c>
      <c r="G35" s="529"/>
      <c r="H35" s="529">
        <f>H34*H38</f>
        <v>146350.35</v>
      </c>
      <c r="I35" s="529"/>
      <c r="J35" s="529">
        <f>J32</f>
        <v>20049.498000000003</v>
      </c>
      <c r="K35" s="529"/>
      <c r="L35" s="529">
        <f>L34*L38</f>
        <v>8521.6834080000008</v>
      </c>
      <c r="M35" s="529"/>
      <c r="N35" s="529">
        <f>N32</f>
        <v>33308.037000000004</v>
      </c>
      <c r="O35" s="529"/>
      <c r="P35" s="529">
        <f>P34*P38</f>
        <v>12017.410398000002</v>
      </c>
      <c r="Q35" s="529"/>
      <c r="R35" s="529"/>
      <c r="S35" s="528"/>
      <c r="T35" s="529">
        <f>SUM(C35:P35)+1</f>
        <v>322693.22380599997</v>
      </c>
      <c r="U35" s="530"/>
      <c r="V35" s="506"/>
      <c r="X35" s="538"/>
      <c r="Z35" s="538"/>
    </row>
    <row r="36" spans="1:26" s="507" customFormat="1" x14ac:dyDescent="0.35">
      <c r="A36" s="524"/>
      <c r="B36" s="526" t="s">
        <v>298</v>
      </c>
      <c r="C36" s="531"/>
      <c r="D36" s="535">
        <f>D37*D34</f>
        <v>0</v>
      </c>
      <c r="E36" s="531"/>
      <c r="F36" s="535">
        <f>F37*F34</f>
        <v>100225.818</v>
      </c>
      <c r="G36" s="535"/>
      <c r="H36" s="535">
        <f>H37*H34</f>
        <v>143179.74000000002</v>
      </c>
      <c r="I36" s="535"/>
      <c r="J36" s="535">
        <f>J37*J34</f>
        <v>19615.1384</v>
      </c>
      <c r="K36" s="535"/>
      <c r="L36" s="535">
        <f>L37*L34</f>
        <v>8337.0665664000007</v>
      </c>
      <c r="M36" s="535"/>
      <c r="N36" s="535">
        <f>N37*N34</f>
        <v>32586.439600000002</v>
      </c>
      <c r="O36" s="535"/>
      <c r="P36" s="535">
        <f>P34*P37</f>
        <v>11757.0608584</v>
      </c>
      <c r="Q36" s="539"/>
      <c r="R36" s="539"/>
      <c r="S36" s="528"/>
      <c r="T36" s="535">
        <f>SUM(C36:P36)+1</f>
        <v>315702.26342480001</v>
      </c>
      <c r="U36" s="530"/>
      <c r="V36" s="506"/>
      <c r="X36" s="538"/>
      <c r="Z36" s="538"/>
    </row>
    <row r="37" spans="1:26" s="491" customFormat="1" x14ac:dyDescent="0.35">
      <c r="A37" s="492"/>
      <c r="B37" s="479" t="s">
        <v>137</v>
      </c>
      <c r="C37" s="493"/>
      <c r="D37" s="494">
        <v>0</v>
      </c>
      <c r="E37" s="495"/>
      <c r="F37" s="494">
        <v>0.95453160000000004</v>
      </c>
      <c r="G37" s="494"/>
      <c r="H37" s="494">
        <v>0.95453160000000004</v>
      </c>
      <c r="I37" s="494"/>
      <c r="J37" s="494">
        <v>0.63274640000000004</v>
      </c>
      <c r="K37" s="494"/>
      <c r="L37" s="494">
        <v>0.63274640000000004</v>
      </c>
      <c r="M37" s="494"/>
      <c r="N37" s="494">
        <v>0.63274640000000004</v>
      </c>
      <c r="O37" s="494"/>
      <c r="P37" s="494">
        <v>0.63274640000000004</v>
      </c>
      <c r="Q37" s="496"/>
      <c r="R37" s="496"/>
      <c r="S37" s="493"/>
      <c r="T37" s="493"/>
      <c r="U37" s="497"/>
      <c r="V37" s="490"/>
    </row>
    <row r="38" spans="1:26" s="491" customFormat="1" x14ac:dyDescent="0.35">
      <c r="A38" s="492"/>
      <c r="B38" s="479" t="s">
        <v>138</v>
      </c>
      <c r="C38" s="493"/>
      <c r="D38" s="494">
        <v>0</v>
      </c>
      <c r="E38" s="495"/>
      <c r="F38" s="494">
        <v>0.97566900000000001</v>
      </c>
      <c r="G38" s="494"/>
      <c r="H38" s="494">
        <v>0.97566900000000001</v>
      </c>
      <c r="I38" s="494"/>
      <c r="J38" s="494">
        <v>0.64675800000000006</v>
      </c>
      <c r="K38" s="494"/>
      <c r="L38" s="494">
        <v>0.64675800000000006</v>
      </c>
      <c r="M38" s="494"/>
      <c r="N38" s="494">
        <v>0.64675800000000006</v>
      </c>
      <c r="O38" s="494"/>
      <c r="P38" s="494">
        <v>0.64675800000000006</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0</v>
      </c>
      <c r="E40" s="521"/>
      <c r="F40" s="541">
        <v>1.1013800000000001E-2</v>
      </c>
      <c r="G40" s="540"/>
      <c r="H40" s="541">
        <v>0</v>
      </c>
      <c r="I40" s="540"/>
      <c r="J40" s="541">
        <v>1.32138E-2</v>
      </c>
      <c r="K40" s="540"/>
      <c r="L40" s="541">
        <v>1.07E-3</v>
      </c>
      <c r="M40" s="540"/>
      <c r="N40" s="541">
        <v>1.8813799999999999E-2</v>
      </c>
      <c r="O40" s="540"/>
      <c r="P40" s="541">
        <v>6.6699999999999997E-3</v>
      </c>
      <c r="Q40" s="540"/>
      <c r="R40" s="541"/>
      <c r="S40" s="521"/>
      <c r="T40" s="527"/>
      <c r="U40" s="523"/>
      <c r="V40" s="506"/>
    </row>
    <row r="41" spans="1:26" s="507" customFormat="1" x14ac:dyDescent="0.35">
      <c r="A41" s="520"/>
      <c r="B41" s="521" t="s">
        <v>13</v>
      </c>
      <c r="C41" s="521"/>
      <c r="D41" s="541">
        <v>0</v>
      </c>
      <c r="E41" s="521"/>
      <c r="F41" s="541">
        <v>1.10613E-2</v>
      </c>
      <c r="G41" s="540"/>
      <c r="H41" s="541">
        <v>2.0000000000000002E-5</v>
      </c>
      <c r="I41" s="540"/>
      <c r="J41" s="541">
        <v>1.32613E-2</v>
      </c>
      <c r="K41" s="540"/>
      <c r="L41" s="541">
        <v>2.2200000000000002E-3</v>
      </c>
      <c r="M41" s="540"/>
      <c r="N41" s="541">
        <v>1.8861300000000001E-2</v>
      </c>
      <c r="O41" s="540"/>
      <c r="P41" s="541">
        <v>7.8200000000000006E-3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0</v>
      </c>
      <c r="E43" s="521"/>
      <c r="F43" s="541">
        <f>+F40</f>
        <v>1.1013800000000001E-2</v>
      </c>
      <c r="G43" s="540"/>
      <c r="H43" s="541">
        <v>1.14638E-2</v>
      </c>
      <c r="I43" s="540"/>
      <c r="J43" s="541">
        <f>+J40</f>
        <v>1.32138E-2</v>
      </c>
      <c r="K43" s="540"/>
      <c r="L43" s="541">
        <v>1.3943799999999999E-2</v>
      </c>
      <c r="M43" s="540"/>
      <c r="N43" s="541">
        <f>+N40</f>
        <v>1.8813799999999999E-2</v>
      </c>
      <c r="O43" s="540"/>
      <c r="P43" s="541">
        <v>2.0043800000000001E-2</v>
      </c>
      <c r="Q43" s="527"/>
      <c r="R43" s="527"/>
      <c r="S43" s="521"/>
      <c r="T43" s="540">
        <f>SUMPRODUCT(D43:P43,D35:P35)/T35</f>
        <v>1.2573312066116164E-2</v>
      </c>
      <c r="U43" s="523"/>
      <c r="V43" s="506"/>
    </row>
    <row r="44" spans="1:26" s="507" customFormat="1" x14ac:dyDescent="0.35">
      <c r="A44" s="520"/>
      <c r="B44" s="521" t="s">
        <v>301</v>
      </c>
      <c r="C44" s="542"/>
      <c r="D44" s="541">
        <f>+D41</f>
        <v>0</v>
      </c>
      <c r="E44" s="521"/>
      <c r="F44" s="541">
        <f>+F41</f>
        <v>1.10613E-2</v>
      </c>
      <c r="G44" s="540"/>
      <c r="H44" s="541">
        <v>1.15113E-2</v>
      </c>
      <c r="I44" s="540"/>
      <c r="J44" s="541">
        <f>+J41</f>
        <v>1.32613E-2</v>
      </c>
      <c r="K44" s="540"/>
      <c r="L44" s="541">
        <v>1.39913E-2</v>
      </c>
      <c r="M44" s="540"/>
      <c r="N44" s="541">
        <f>+N41</f>
        <v>1.8861300000000001E-2</v>
      </c>
      <c r="O44" s="540"/>
      <c r="P44" s="541">
        <v>2.0091299999999999E-2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0.2970174798752952</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43815</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91</v>
      </c>
      <c r="Q56" s="521"/>
      <c r="R56" s="551">
        <v>43633</v>
      </c>
      <c r="S56" s="552"/>
      <c r="T56" s="551">
        <v>43723</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91</v>
      </c>
      <c r="Q57" s="521"/>
      <c r="R57" s="551">
        <v>43724</v>
      </c>
      <c r="S57" s="552"/>
      <c r="T57" s="551">
        <v>43814</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43801</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378</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322693</v>
      </c>
      <c r="M67" s="564"/>
      <c r="N67" s="564">
        <v>6991</v>
      </c>
      <c r="O67" s="564"/>
      <c r="P67" s="564">
        <v>0</v>
      </c>
      <c r="Q67" s="564"/>
      <c r="R67" s="564">
        <v>0</v>
      </c>
      <c r="S67" s="564"/>
      <c r="T67" s="565">
        <f>+L67-N67+P67-R67</f>
        <v>315702</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322693</v>
      </c>
      <c r="M70" s="564"/>
      <c r="N70" s="564">
        <f>SUM(N67:N69)</f>
        <v>6991</v>
      </c>
      <c r="O70" s="564"/>
      <c r="P70" s="564">
        <f>SUM(P67:P69)</f>
        <v>0</v>
      </c>
      <c r="Q70" s="564"/>
      <c r="R70" s="564">
        <f>SUM(R67:R69)</f>
        <v>0</v>
      </c>
      <c r="S70" s="564"/>
      <c r="T70" s="564">
        <f>SUM(T67:T69)</f>
        <v>315702</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322693</v>
      </c>
      <c r="M83" s="564"/>
      <c r="N83" s="564"/>
      <c r="O83" s="564"/>
      <c r="P83" s="564"/>
      <c r="Q83" s="564"/>
      <c r="R83" s="564"/>
      <c r="S83" s="564"/>
      <c r="T83" s="564">
        <f>SUM(T70:T82)</f>
        <v>315702</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+R200</f>
        <v>43798</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6991-282</f>
        <v>6709</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1918+980-701-314</f>
        <v>1883</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59+15</f>
        <v>74</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42</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113</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6709</v>
      </c>
      <c r="S95" s="521"/>
      <c r="T95" s="564">
        <f>SUM(T87:T94)</f>
        <v>2112</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167</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6709</v>
      </c>
      <c r="S99" s="521"/>
      <c r="T99" s="564">
        <f>T95+T97+T96+T98</f>
        <v>2279</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-124-96-5</f>
        <v>-225</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v>-281</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-418</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-30</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-66</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-60</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-156</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-9</v>
      </c>
      <c r="U113" s="523"/>
      <c r="V113" s="506"/>
    </row>
    <row r="114" spans="1:22" s="507" customFormat="1" x14ac:dyDescent="0.35">
      <c r="A114" s="520">
        <f t="shared" ref="A114:A122" si="0">+A113+1</f>
        <v>9</v>
      </c>
      <c r="B114" s="521" t="s">
        <v>47</v>
      </c>
      <c r="C114" s="521"/>
      <c r="D114" s="521"/>
      <c r="E114" s="521"/>
      <c r="F114" s="521"/>
      <c r="G114" s="521"/>
      <c r="H114" s="521"/>
      <c r="I114" s="521"/>
      <c r="J114" s="521"/>
      <c r="K114" s="521"/>
      <c r="L114" s="521"/>
      <c r="M114" s="521"/>
      <c r="N114" s="521"/>
      <c r="O114" s="521"/>
      <c r="P114" s="521"/>
      <c r="Q114" s="521"/>
      <c r="R114" s="564">
        <f>-T114</f>
        <v>282</v>
      </c>
      <c r="S114" s="521"/>
      <c r="T114" s="565">
        <v>-282</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-124</v>
      </c>
      <c r="U118" s="523"/>
      <c r="V118" s="506"/>
    </row>
    <row r="119" spans="1:22" s="507" customFormat="1" x14ac:dyDescent="0.35">
      <c r="A119" s="520">
        <f t="shared" si="0"/>
        <v>14</v>
      </c>
      <c r="B119" s="568" t="s">
        <v>376</v>
      </c>
      <c r="C119" s="521"/>
      <c r="D119" s="521"/>
      <c r="E119" s="521"/>
      <c r="F119" s="521"/>
      <c r="G119" s="521"/>
      <c r="H119" s="521"/>
      <c r="I119" s="521"/>
      <c r="J119" s="521"/>
      <c r="K119" s="521"/>
      <c r="L119" s="521"/>
      <c r="M119" s="521"/>
      <c r="N119" s="521"/>
      <c r="O119" s="521"/>
      <c r="P119" s="521"/>
      <c r="Q119" s="521"/>
      <c r="R119" s="521"/>
      <c r="S119" s="521"/>
      <c r="T119" s="565">
        <v>-222</v>
      </c>
      <c r="U119" s="523"/>
      <c r="V119" s="506"/>
    </row>
    <row r="120" spans="1:22" s="507" customFormat="1" x14ac:dyDescent="0.35">
      <c r="A120" s="520">
        <f t="shared" si="0"/>
        <v>15</v>
      </c>
      <c r="B120" s="521" t="s">
        <v>373</v>
      </c>
      <c r="C120" s="521"/>
      <c r="D120" s="521"/>
      <c r="E120" s="521"/>
      <c r="F120" s="521"/>
      <c r="G120" s="521"/>
      <c r="H120" s="521"/>
      <c r="I120" s="521"/>
      <c r="J120" s="521"/>
      <c r="K120" s="521"/>
      <c r="L120" s="521"/>
      <c r="M120" s="521"/>
      <c r="N120" s="521"/>
      <c r="O120" s="521"/>
      <c r="P120" s="521"/>
      <c r="Q120" s="521"/>
      <c r="R120" s="521"/>
      <c r="S120" s="521"/>
      <c r="T120" s="565">
        <v>-113</v>
      </c>
      <c r="U120" s="523"/>
      <c r="V120" s="506"/>
    </row>
    <row r="121" spans="1:22" s="507" customFormat="1" x14ac:dyDescent="0.35">
      <c r="A121" s="520">
        <f t="shared" si="0"/>
        <v>16</v>
      </c>
      <c r="B121" s="521" t="s">
        <v>375</v>
      </c>
      <c r="C121" s="521"/>
      <c r="D121" s="521"/>
      <c r="E121" s="521"/>
      <c r="F121" s="521"/>
      <c r="G121" s="521"/>
      <c r="H121" s="521"/>
      <c r="I121" s="521"/>
      <c r="J121" s="521"/>
      <c r="K121" s="521"/>
      <c r="L121" s="521"/>
      <c r="M121" s="521"/>
      <c r="N121" s="521"/>
      <c r="O121" s="521"/>
      <c r="P121" s="521"/>
      <c r="Q121" s="521"/>
      <c r="R121" s="521"/>
      <c r="S121" s="521"/>
      <c r="T121" s="565">
        <v>0</v>
      </c>
      <c r="U121" s="523"/>
      <c r="V121" s="506"/>
    </row>
    <row r="122" spans="1:22" s="507" customFormat="1" x14ac:dyDescent="0.35">
      <c r="A122" s="520">
        <f t="shared" si="0"/>
        <v>17</v>
      </c>
      <c r="B122" s="521" t="s">
        <v>374</v>
      </c>
      <c r="C122" s="521"/>
      <c r="D122" s="521"/>
      <c r="E122" s="521"/>
      <c r="F122" s="521"/>
      <c r="G122" s="521"/>
      <c r="H122" s="521"/>
      <c r="I122" s="521"/>
      <c r="J122" s="521"/>
      <c r="K122" s="521"/>
      <c r="L122" s="521"/>
      <c r="M122" s="521"/>
      <c r="N122" s="521"/>
      <c r="O122" s="521"/>
      <c r="P122" s="521"/>
      <c r="Q122" s="521"/>
      <c r="R122" s="521"/>
      <c r="S122" s="521"/>
      <c r="T122" s="565">
        <f>-T99-SUM(T101:T121)</f>
        <v>-291</v>
      </c>
      <c r="U122" s="523"/>
      <c r="V122" s="506"/>
    </row>
    <row r="123" spans="1:22" x14ac:dyDescent="0.35">
      <c r="A123" s="416"/>
      <c r="B123" s="483" t="s">
        <v>39</v>
      </c>
      <c r="C123" s="417"/>
      <c r="D123" s="417"/>
      <c r="E123" s="417"/>
      <c r="F123" s="417"/>
      <c r="G123" s="417"/>
      <c r="H123" s="417"/>
      <c r="I123" s="417"/>
      <c r="J123" s="417"/>
      <c r="K123" s="417"/>
      <c r="L123" s="417"/>
      <c r="M123" s="417"/>
      <c r="N123" s="417"/>
      <c r="O123" s="417"/>
      <c r="P123" s="417"/>
      <c r="Q123" s="417"/>
      <c r="R123" s="417"/>
      <c r="S123" s="417"/>
      <c r="T123" s="434"/>
      <c r="U123" s="418"/>
      <c r="V123" s="405"/>
    </row>
    <row r="124" spans="1:22" s="507" customFormat="1" x14ac:dyDescent="0.35">
      <c r="A124" s="520"/>
      <c r="B124" s="521" t="s">
        <v>184</v>
      </c>
      <c r="C124" s="521"/>
      <c r="D124" s="521"/>
      <c r="E124" s="521"/>
      <c r="F124" s="521"/>
      <c r="G124" s="521"/>
      <c r="H124" s="521"/>
      <c r="I124" s="521"/>
      <c r="J124" s="521"/>
      <c r="K124" s="521"/>
      <c r="L124" s="521"/>
      <c r="M124" s="521"/>
      <c r="N124" s="521"/>
      <c r="O124" s="521"/>
      <c r="P124" s="521"/>
      <c r="Q124" s="521"/>
      <c r="R124" s="564">
        <f>-R184</f>
        <v>0</v>
      </c>
      <c r="S124" s="564"/>
      <c r="T124" s="565"/>
      <c r="U124" s="523"/>
      <c r="V124" s="506"/>
    </row>
    <row r="125" spans="1:22" s="507" customFormat="1" x14ac:dyDescent="0.35">
      <c r="A125" s="520"/>
      <c r="B125" s="521" t="s">
        <v>185</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40</v>
      </c>
      <c r="C126" s="521"/>
      <c r="D126" s="521"/>
      <c r="E126" s="521"/>
      <c r="F126" s="521"/>
      <c r="G126" s="521"/>
      <c r="H126" s="521"/>
      <c r="I126" s="521"/>
      <c r="J126" s="521"/>
      <c r="K126" s="521"/>
      <c r="L126" s="521"/>
      <c r="M126" s="521"/>
      <c r="N126" s="521"/>
      <c r="O126" s="521"/>
      <c r="P126" s="521"/>
      <c r="Q126" s="521"/>
      <c r="R126" s="564">
        <f>-Q184</f>
        <v>0</v>
      </c>
      <c r="S126" s="564"/>
      <c r="T126" s="565"/>
      <c r="U126" s="523"/>
      <c r="V126" s="506"/>
    </row>
    <row r="127" spans="1:22" s="507" customFormat="1" x14ac:dyDescent="0.35">
      <c r="A127" s="520"/>
      <c r="B127" s="521" t="s">
        <v>377</v>
      </c>
      <c r="C127" s="521"/>
      <c r="D127" s="521"/>
      <c r="E127" s="521"/>
      <c r="F127" s="521"/>
      <c r="G127" s="521"/>
      <c r="H127" s="521"/>
      <c r="I127" s="521"/>
      <c r="J127" s="521"/>
      <c r="K127" s="521"/>
      <c r="L127" s="521"/>
      <c r="M127" s="521"/>
      <c r="N127" s="521"/>
      <c r="O127" s="521"/>
      <c r="P127" s="521"/>
      <c r="Q127" s="521"/>
      <c r="R127" s="564">
        <v>0</v>
      </c>
      <c r="S127" s="564"/>
      <c r="T127" s="565"/>
      <c r="U127" s="523"/>
      <c r="V127" s="506"/>
    </row>
    <row r="128" spans="1:22" s="507" customFormat="1" x14ac:dyDescent="0.35">
      <c r="A128" s="520"/>
      <c r="B128" s="521" t="s">
        <v>229</v>
      </c>
      <c r="C128" s="521"/>
      <c r="D128" s="521"/>
      <c r="E128" s="521"/>
      <c r="F128" s="521"/>
      <c r="G128" s="521"/>
      <c r="H128" s="521"/>
      <c r="I128" s="521"/>
      <c r="J128" s="521"/>
      <c r="K128" s="521"/>
      <c r="L128" s="521"/>
      <c r="M128" s="521"/>
      <c r="N128" s="521"/>
      <c r="O128" s="521"/>
      <c r="P128" s="521"/>
      <c r="Q128" s="521"/>
      <c r="R128" s="564">
        <v>-2219</v>
      </c>
      <c r="S128" s="564"/>
      <c r="T128" s="565"/>
      <c r="U128" s="523"/>
      <c r="V128" s="506"/>
    </row>
    <row r="129" spans="1:22" s="507" customFormat="1" x14ac:dyDescent="0.35">
      <c r="A129" s="520"/>
      <c r="B129" s="521" t="s">
        <v>228</v>
      </c>
      <c r="C129" s="521"/>
      <c r="D129" s="521"/>
      <c r="E129" s="521"/>
      <c r="F129" s="521"/>
      <c r="G129" s="521"/>
      <c r="H129" s="521"/>
      <c r="I129" s="521"/>
      <c r="J129" s="521"/>
      <c r="K129" s="521"/>
      <c r="L129" s="521"/>
      <c r="M129" s="521"/>
      <c r="N129" s="521"/>
      <c r="O129" s="521"/>
      <c r="P129" s="521"/>
      <c r="Q129" s="521"/>
      <c r="R129" s="564">
        <v>-3171</v>
      </c>
      <c r="S129" s="564"/>
      <c r="T129" s="565"/>
      <c r="U129" s="523"/>
      <c r="V129" s="506"/>
    </row>
    <row r="130" spans="1:22" s="507" customFormat="1" x14ac:dyDescent="0.35">
      <c r="A130" s="520"/>
      <c r="B130" s="521" t="s">
        <v>221</v>
      </c>
      <c r="C130" s="521"/>
      <c r="D130" s="521"/>
      <c r="E130" s="521"/>
      <c r="F130" s="521"/>
      <c r="G130" s="521"/>
      <c r="H130" s="521"/>
      <c r="I130" s="521"/>
      <c r="J130" s="521"/>
      <c r="K130" s="521"/>
      <c r="L130" s="521"/>
      <c r="M130" s="521"/>
      <c r="N130" s="521"/>
      <c r="O130" s="521"/>
      <c r="P130" s="521"/>
      <c r="Q130" s="521"/>
      <c r="R130" s="564">
        <v>-434</v>
      </c>
      <c r="S130" s="564"/>
      <c r="T130" s="565"/>
      <c r="U130" s="523"/>
      <c r="V130" s="506"/>
    </row>
    <row r="131" spans="1:22" s="507" customFormat="1" x14ac:dyDescent="0.35">
      <c r="A131" s="520"/>
      <c r="B131" s="521" t="s">
        <v>220</v>
      </c>
      <c r="C131" s="521"/>
      <c r="D131" s="521"/>
      <c r="E131" s="521"/>
      <c r="F131" s="521"/>
      <c r="G131" s="521"/>
      <c r="H131" s="521"/>
      <c r="I131" s="521"/>
      <c r="J131" s="521"/>
      <c r="K131" s="521"/>
      <c r="L131" s="521"/>
      <c r="M131" s="521"/>
      <c r="N131" s="521"/>
      <c r="O131" s="521"/>
      <c r="P131" s="521"/>
      <c r="Q131" s="521"/>
      <c r="R131" s="564">
        <v>-185</v>
      </c>
      <c r="S131" s="564"/>
      <c r="T131" s="565"/>
      <c r="U131" s="523"/>
      <c r="V131" s="506"/>
    </row>
    <row r="132" spans="1:22" s="507" customFormat="1" x14ac:dyDescent="0.35">
      <c r="A132" s="520"/>
      <c r="B132" s="521" t="s">
        <v>219</v>
      </c>
      <c r="C132" s="521"/>
      <c r="D132" s="521"/>
      <c r="E132" s="521"/>
      <c r="F132" s="521"/>
      <c r="G132" s="521"/>
      <c r="H132" s="521"/>
      <c r="I132" s="521"/>
      <c r="J132" s="521"/>
      <c r="K132" s="521"/>
      <c r="L132" s="521"/>
      <c r="M132" s="521"/>
      <c r="N132" s="521"/>
      <c r="O132" s="521"/>
      <c r="P132" s="521"/>
      <c r="Q132" s="521"/>
      <c r="R132" s="564">
        <v>-722</v>
      </c>
      <c r="S132" s="564"/>
      <c r="T132" s="565"/>
      <c r="U132" s="523"/>
      <c r="V132" s="506"/>
    </row>
    <row r="133" spans="1:22" s="507" customFormat="1" x14ac:dyDescent="0.35">
      <c r="A133" s="520"/>
      <c r="B133" s="521" t="s">
        <v>218</v>
      </c>
      <c r="C133" s="521"/>
      <c r="D133" s="521"/>
      <c r="E133" s="521"/>
      <c r="F133" s="521"/>
      <c r="G133" s="521"/>
      <c r="H133" s="521"/>
      <c r="I133" s="521"/>
      <c r="J133" s="521"/>
      <c r="K133" s="521"/>
      <c r="L133" s="521"/>
      <c r="M133" s="521"/>
      <c r="N133" s="521"/>
      <c r="O133" s="521"/>
      <c r="P133" s="521"/>
      <c r="Q133" s="521"/>
      <c r="R133" s="564">
        <v>-260</v>
      </c>
      <c r="S133" s="564"/>
      <c r="T133" s="565"/>
      <c r="U133" s="523"/>
      <c r="V133" s="506"/>
    </row>
    <row r="134" spans="1:22" s="507" customFormat="1" x14ac:dyDescent="0.35">
      <c r="A134" s="520"/>
      <c r="B134" s="521" t="s">
        <v>41</v>
      </c>
      <c r="C134" s="521"/>
      <c r="D134" s="521"/>
      <c r="E134" s="521"/>
      <c r="F134" s="521"/>
      <c r="G134" s="521"/>
      <c r="H134" s="521"/>
      <c r="I134" s="521"/>
      <c r="J134" s="521"/>
      <c r="K134" s="521"/>
      <c r="L134" s="521"/>
      <c r="M134" s="521"/>
      <c r="N134" s="521"/>
      <c r="O134" s="521"/>
      <c r="P134" s="521"/>
      <c r="Q134" s="521"/>
      <c r="R134" s="564">
        <f>SUM(R124:R133)</f>
        <v>-6991</v>
      </c>
      <c r="S134" s="564"/>
      <c r="T134" s="564">
        <f>SUM(T100:T132)</f>
        <v>-2279</v>
      </c>
      <c r="U134" s="523"/>
      <c r="V134" s="506"/>
    </row>
    <row r="135" spans="1:22" s="507" customFormat="1" x14ac:dyDescent="0.35">
      <c r="A135" s="520"/>
      <c r="B135" s="521" t="s">
        <v>42</v>
      </c>
      <c r="C135" s="521"/>
      <c r="D135" s="521"/>
      <c r="E135" s="521"/>
      <c r="F135" s="521"/>
      <c r="G135" s="521"/>
      <c r="H135" s="521"/>
      <c r="I135" s="521"/>
      <c r="J135" s="521"/>
      <c r="K135" s="521"/>
      <c r="L135" s="521"/>
      <c r="M135" s="521"/>
      <c r="N135" s="521"/>
      <c r="O135" s="521"/>
      <c r="P135" s="521"/>
      <c r="Q135" s="521"/>
      <c r="R135" s="564">
        <f>R99+R134+R114</f>
        <v>0</v>
      </c>
      <c r="S135" s="564"/>
      <c r="T135" s="564">
        <f>T99+T134</f>
        <v>0</v>
      </c>
      <c r="U135" s="523"/>
      <c r="V135" s="506"/>
    </row>
    <row r="136" spans="1:22" s="507" customFormat="1" x14ac:dyDescent="0.35">
      <c r="A136" s="508"/>
      <c r="B136" s="554"/>
      <c r="C136" s="554"/>
      <c r="D136" s="554"/>
      <c r="E136" s="554"/>
      <c r="F136" s="554"/>
      <c r="G136" s="554"/>
      <c r="H136" s="554"/>
      <c r="I136" s="554"/>
      <c r="J136" s="554"/>
      <c r="K136" s="554"/>
      <c r="L136" s="554"/>
      <c r="M136" s="554"/>
      <c r="N136" s="554"/>
      <c r="O136" s="554"/>
      <c r="P136" s="554"/>
      <c r="Q136" s="554"/>
      <c r="R136" s="571"/>
      <c r="S136" s="571"/>
      <c r="T136" s="571"/>
      <c r="U136" s="554"/>
      <c r="V136" s="506"/>
    </row>
    <row r="137" spans="1:22" s="507" customFormat="1" x14ac:dyDescent="0.35">
      <c r="A137" s="508"/>
      <c r="B137" s="509"/>
      <c r="C137" s="509"/>
      <c r="D137" s="509"/>
      <c r="E137" s="509"/>
      <c r="F137" s="509"/>
      <c r="G137" s="509"/>
      <c r="H137" s="509"/>
      <c r="I137" s="509"/>
      <c r="J137" s="509"/>
      <c r="K137" s="509"/>
      <c r="L137" s="509"/>
      <c r="M137" s="509"/>
      <c r="N137" s="509"/>
      <c r="O137" s="509"/>
      <c r="P137" s="509"/>
      <c r="Q137" s="509"/>
      <c r="R137" s="509"/>
      <c r="S137" s="509"/>
      <c r="T137" s="572"/>
      <c r="U137" s="509"/>
      <c r="V137" s="506"/>
    </row>
    <row r="138" spans="1:22" s="507" customFormat="1" ht="19" thickBot="1" x14ac:dyDescent="0.5">
      <c r="A138" s="559"/>
      <c r="B138" s="560" t="str">
        <f>B63</f>
        <v>PM10 INVESTOR REPORT QUARTER ENDING NOVEMBER 2019</v>
      </c>
      <c r="C138" s="561"/>
      <c r="D138" s="561"/>
      <c r="E138" s="561"/>
      <c r="F138" s="561"/>
      <c r="G138" s="561"/>
      <c r="H138" s="561"/>
      <c r="I138" s="561"/>
      <c r="J138" s="561"/>
      <c r="K138" s="561"/>
      <c r="L138" s="561"/>
      <c r="M138" s="561"/>
      <c r="N138" s="561"/>
      <c r="O138" s="561"/>
      <c r="P138" s="561"/>
      <c r="Q138" s="561"/>
      <c r="R138" s="561"/>
      <c r="S138" s="561"/>
      <c r="T138" s="573"/>
      <c r="U138" s="563"/>
      <c r="V138" s="506"/>
    </row>
    <row r="139" spans="1:22" x14ac:dyDescent="0.35">
      <c r="A139" s="615"/>
      <c r="B139" s="616" t="s">
        <v>43</v>
      </c>
      <c r="C139" s="617"/>
      <c r="D139" s="617"/>
      <c r="E139" s="617"/>
      <c r="F139" s="617"/>
      <c r="G139" s="617"/>
      <c r="H139" s="617"/>
      <c r="I139" s="617"/>
      <c r="J139" s="617"/>
      <c r="K139" s="617"/>
      <c r="L139" s="617"/>
      <c r="M139" s="617"/>
      <c r="N139" s="617"/>
      <c r="O139" s="617"/>
      <c r="P139" s="617"/>
      <c r="Q139" s="617"/>
      <c r="R139" s="617"/>
      <c r="S139" s="617"/>
      <c r="T139" s="618"/>
      <c r="U139" s="617"/>
      <c r="V139" s="405"/>
    </row>
    <row r="140" spans="1:22" x14ac:dyDescent="0.35">
      <c r="A140" s="407"/>
      <c r="B140" s="436"/>
      <c r="C140" s="409"/>
      <c r="D140" s="409"/>
      <c r="E140" s="409"/>
      <c r="F140" s="409"/>
      <c r="G140" s="409"/>
      <c r="H140" s="409"/>
      <c r="I140" s="409"/>
      <c r="J140" s="409"/>
      <c r="K140" s="409"/>
      <c r="L140" s="409"/>
      <c r="M140" s="409"/>
      <c r="N140" s="409"/>
      <c r="O140" s="409"/>
      <c r="P140" s="409"/>
      <c r="Q140" s="409"/>
      <c r="R140" s="409"/>
      <c r="S140" s="409"/>
      <c r="T140" s="425"/>
      <c r="U140" s="409"/>
      <c r="V140" s="405"/>
    </row>
    <row r="141" spans="1:22" x14ac:dyDescent="0.35">
      <c r="A141" s="407"/>
      <c r="B141" s="480" t="s">
        <v>44</v>
      </c>
      <c r="C141" s="409"/>
      <c r="D141" s="409"/>
      <c r="E141" s="409"/>
      <c r="F141" s="409"/>
      <c r="G141" s="409"/>
      <c r="H141" s="409"/>
      <c r="I141" s="409"/>
      <c r="J141" s="409"/>
      <c r="K141" s="409"/>
      <c r="L141" s="409"/>
      <c r="M141" s="409"/>
      <c r="N141" s="409"/>
      <c r="O141" s="409"/>
      <c r="P141" s="409"/>
      <c r="Q141" s="409"/>
      <c r="R141" s="409"/>
      <c r="S141" s="409"/>
      <c r="T141" s="425"/>
      <c r="U141" s="409"/>
      <c r="V141" s="405"/>
    </row>
    <row r="142" spans="1:22" s="507" customFormat="1" x14ac:dyDescent="0.35">
      <c r="A142" s="520"/>
      <c r="B142" s="521" t="s">
        <v>45</v>
      </c>
      <c r="C142" s="521"/>
      <c r="D142" s="521"/>
      <c r="E142" s="521"/>
      <c r="F142" s="521"/>
      <c r="G142" s="521"/>
      <c r="H142" s="521"/>
      <c r="I142" s="521"/>
      <c r="J142" s="521"/>
      <c r="K142" s="521"/>
      <c r="L142" s="521"/>
      <c r="M142" s="521"/>
      <c r="N142" s="521"/>
      <c r="O142" s="521"/>
      <c r="P142" s="521"/>
      <c r="Q142" s="521"/>
      <c r="R142" s="521"/>
      <c r="S142" s="521"/>
      <c r="T142" s="565">
        <f>+T34*0.0186</f>
        <v>18606.565799999997</v>
      </c>
      <c r="U142" s="523"/>
      <c r="V142" s="506"/>
    </row>
    <row r="143" spans="1:22" s="507" customFormat="1" x14ac:dyDescent="0.35">
      <c r="A143" s="520"/>
      <c r="B143" s="521" t="s">
        <v>46</v>
      </c>
      <c r="C143" s="521"/>
      <c r="D143" s="521"/>
      <c r="E143" s="521"/>
      <c r="F143" s="521"/>
      <c r="G143" s="521"/>
      <c r="H143" s="521"/>
      <c r="I143" s="521"/>
      <c r="J143" s="521"/>
      <c r="K143" s="521"/>
      <c r="L143" s="521"/>
      <c r="M143" s="521"/>
      <c r="N143" s="521"/>
      <c r="O143" s="521"/>
      <c r="P143" s="521"/>
      <c r="Q143" s="521"/>
      <c r="R143" s="521"/>
      <c r="S143" s="521"/>
      <c r="T143" s="565">
        <v>18607</v>
      </c>
      <c r="U143" s="523"/>
      <c r="V143" s="506"/>
    </row>
    <row r="144" spans="1:22" s="507" customFormat="1" x14ac:dyDescent="0.35">
      <c r="A144" s="520"/>
      <c r="B144" s="521" t="s">
        <v>143</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130</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131</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186</v>
      </c>
      <c r="C147" s="521"/>
      <c r="D147" s="521"/>
      <c r="E147" s="521"/>
      <c r="F147" s="521"/>
      <c r="G147" s="521"/>
      <c r="H147" s="521"/>
      <c r="I147" s="521"/>
      <c r="J147" s="521"/>
      <c r="K147" s="521"/>
      <c r="L147" s="521"/>
      <c r="M147" s="521"/>
      <c r="N147" s="521"/>
      <c r="O147" s="521"/>
      <c r="P147" s="521"/>
      <c r="Q147" s="521"/>
      <c r="R147" s="521"/>
      <c r="S147" s="521"/>
      <c r="T147" s="565">
        <v>0</v>
      </c>
      <c r="U147" s="523"/>
      <c r="V147" s="506"/>
    </row>
    <row r="148" spans="1:23" s="507" customFormat="1" x14ac:dyDescent="0.35">
      <c r="A148" s="520"/>
      <c r="B148" s="521" t="s">
        <v>47</v>
      </c>
      <c r="C148" s="521"/>
      <c r="D148" s="521"/>
      <c r="E148" s="521"/>
      <c r="F148" s="521"/>
      <c r="G148" s="521"/>
      <c r="H148" s="521"/>
      <c r="I148" s="521"/>
      <c r="J148" s="521"/>
      <c r="K148" s="521"/>
      <c r="L148" s="521"/>
      <c r="M148" s="521"/>
      <c r="N148" s="521"/>
      <c r="O148" s="521"/>
      <c r="P148" s="521"/>
      <c r="Q148" s="521"/>
      <c r="R148" s="521"/>
      <c r="S148" s="521"/>
      <c r="T148" s="565">
        <v>0</v>
      </c>
      <c r="U148" s="523"/>
      <c r="V148" s="506"/>
    </row>
    <row r="149" spans="1:23" s="507" customFormat="1" x14ac:dyDescent="0.35">
      <c r="A149" s="520"/>
      <c r="B149" s="521" t="s">
        <v>136</v>
      </c>
      <c r="C149" s="521"/>
      <c r="D149" s="521"/>
      <c r="E149" s="521"/>
      <c r="F149" s="521"/>
      <c r="G149" s="521"/>
      <c r="H149" s="521"/>
      <c r="I149" s="521"/>
      <c r="J149" s="521"/>
      <c r="K149" s="521"/>
      <c r="L149" s="521"/>
      <c r="M149" s="521"/>
      <c r="N149" s="521"/>
      <c r="O149" s="521"/>
      <c r="P149" s="521"/>
      <c r="Q149" s="521"/>
      <c r="R149" s="521"/>
      <c r="S149" s="521"/>
      <c r="T149" s="565">
        <v>0</v>
      </c>
      <c r="U149" s="523"/>
      <c r="V149" s="506"/>
    </row>
    <row r="150" spans="1:23" s="507" customFormat="1" x14ac:dyDescent="0.35">
      <c r="A150" s="520"/>
      <c r="B150" s="521" t="s">
        <v>222</v>
      </c>
      <c r="C150" s="521"/>
      <c r="D150" s="521"/>
      <c r="E150" s="521"/>
      <c r="F150" s="521"/>
      <c r="G150" s="521"/>
      <c r="H150" s="521"/>
      <c r="I150" s="521"/>
      <c r="J150" s="521"/>
      <c r="K150" s="521"/>
      <c r="L150" s="521"/>
      <c r="M150" s="521"/>
      <c r="N150" s="521"/>
      <c r="O150" s="521"/>
      <c r="P150" s="521"/>
      <c r="Q150" s="521"/>
      <c r="R150" s="521"/>
      <c r="S150" s="521"/>
      <c r="T150" s="565">
        <v>0</v>
      </c>
      <c r="U150" s="523"/>
      <c r="V150" s="506"/>
      <c r="W150" s="570"/>
    </row>
    <row r="151" spans="1:23" s="507" customFormat="1" x14ac:dyDescent="0.35">
      <c r="A151" s="520"/>
      <c r="B151" s="521" t="s">
        <v>48</v>
      </c>
      <c r="C151" s="521"/>
      <c r="D151" s="521"/>
      <c r="E151" s="521"/>
      <c r="F151" s="521"/>
      <c r="G151" s="521"/>
      <c r="H151" s="521"/>
      <c r="I151" s="521"/>
      <c r="J151" s="521"/>
      <c r="K151" s="521"/>
      <c r="L151" s="521"/>
      <c r="M151" s="521"/>
      <c r="N151" s="521"/>
      <c r="O151" s="521"/>
      <c r="P151" s="521"/>
      <c r="Q151" s="521"/>
      <c r="R151" s="521"/>
      <c r="S151" s="521"/>
      <c r="T151" s="565">
        <f>SUM(T143:T150)</f>
        <v>18607</v>
      </c>
      <c r="U151" s="523"/>
      <c r="V151" s="506"/>
    </row>
    <row r="152" spans="1:23" x14ac:dyDescent="0.35">
      <c r="A152" s="420"/>
      <c r="B152" s="421"/>
      <c r="C152" s="421"/>
      <c r="D152" s="421"/>
      <c r="E152" s="421"/>
      <c r="F152" s="421"/>
      <c r="G152" s="421"/>
      <c r="H152" s="421"/>
      <c r="I152" s="421"/>
      <c r="J152" s="421"/>
      <c r="K152" s="421"/>
      <c r="L152" s="421"/>
      <c r="M152" s="421"/>
      <c r="N152" s="421"/>
      <c r="O152" s="421"/>
      <c r="P152" s="421"/>
      <c r="Q152" s="421"/>
      <c r="R152" s="421"/>
      <c r="S152" s="421"/>
      <c r="T152" s="433"/>
      <c r="U152" s="422"/>
      <c r="V152" s="405"/>
    </row>
    <row r="153" spans="1:23" x14ac:dyDescent="0.35">
      <c r="A153" s="420"/>
      <c r="B153" s="483" t="s">
        <v>266</v>
      </c>
      <c r="C153" s="421"/>
      <c r="D153" s="421"/>
      <c r="E153" s="421"/>
      <c r="F153" s="421"/>
      <c r="G153" s="421"/>
      <c r="H153" s="421"/>
      <c r="I153" s="421"/>
      <c r="J153" s="421"/>
      <c r="K153" s="421"/>
      <c r="L153" s="421"/>
      <c r="M153" s="421"/>
      <c r="N153" s="421"/>
      <c r="O153" s="421"/>
      <c r="P153" s="421"/>
      <c r="Q153" s="421"/>
      <c r="R153" s="421"/>
      <c r="S153" s="421"/>
      <c r="T153" s="433"/>
      <c r="U153" s="422"/>
      <c r="V153" s="405"/>
    </row>
    <row r="154" spans="1:23" s="507" customFormat="1" x14ac:dyDescent="0.35">
      <c r="A154" s="520"/>
      <c r="B154" s="521" t="s">
        <v>163</v>
      </c>
      <c r="C154" s="521"/>
      <c r="D154" s="521"/>
      <c r="E154" s="521"/>
      <c r="F154" s="521"/>
      <c r="G154" s="521"/>
      <c r="H154" s="521"/>
      <c r="I154" s="521"/>
      <c r="J154" s="521"/>
      <c r="K154" s="521"/>
      <c r="L154" s="521"/>
      <c r="M154" s="521"/>
      <c r="N154" s="521"/>
      <c r="O154" s="521"/>
      <c r="P154" s="521"/>
      <c r="Q154" s="521"/>
      <c r="R154" s="521"/>
      <c r="S154" s="521"/>
      <c r="T154" s="565">
        <v>5750</v>
      </c>
      <c r="U154" s="523"/>
      <c r="V154" s="506"/>
    </row>
    <row r="155" spans="1:23" s="507" customFormat="1" x14ac:dyDescent="0.35">
      <c r="A155" s="520"/>
      <c r="B155" s="521" t="s">
        <v>264</v>
      </c>
      <c r="C155" s="521"/>
      <c r="D155" s="521"/>
      <c r="E155" s="521"/>
      <c r="F155" s="521"/>
      <c r="G155" s="521"/>
      <c r="H155" s="521"/>
      <c r="I155" s="521"/>
      <c r="J155" s="521"/>
      <c r="K155" s="521"/>
      <c r="L155" s="521"/>
      <c r="M155" s="521"/>
      <c r="N155" s="521"/>
      <c r="O155" s="521"/>
      <c r="P155" s="521"/>
      <c r="Q155" s="521"/>
      <c r="R155" s="521"/>
      <c r="S155" s="521"/>
      <c r="T155" s="565">
        <v>0</v>
      </c>
      <c r="U155" s="523"/>
      <c r="V155" s="506"/>
    </row>
    <row r="156" spans="1:23" s="507" customFormat="1" x14ac:dyDescent="0.35">
      <c r="A156" s="520"/>
      <c r="B156" s="521" t="s">
        <v>183</v>
      </c>
      <c r="C156" s="521"/>
      <c r="D156" s="521"/>
      <c r="E156" s="521"/>
      <c r="F156" s="521"/>
      <c r="G156" s="521"/>
      <c r="H156" s="521"/>
      <c r="I156" s="521"/>
      <c r="J156" s="521"/>
      <c r="K156" s="521"/>
      <c r="L156" s="521"/>
      <c r="M156" s="521"/>
      <c r="N156" s="521"/>
      <c r="O156" s="521"/>
      <c r="P156" s="521"/>
      <c r="Q156" s="521"/>
      <c r="R156" s="521"/>
      <c r="S156" s="521"/>
      <c r="T156" s="565">
        <v>0</v>
      </c>
      <c r="U156" s="523"/>
      <c r="V156" s="506"/>
    </row>
    <row r="157" spans="1:23" s="507" customFormat="1" x14ac:dyDescent="0.35">
      <c r="A157" s="520"/>
      <c r="B157" s="521" t="s">
        <v>335</v>
      </c>
      <c r="C157" s="521"/>
      <c r="D157" s="521"/>
      <c r="E157" s="521"/>
      <c r="F157" s="521"/>
      <c r="G157" s="521"/>
      <c r="H157" s="521"/>
      <c r="I157" s="521"/>
      <c r="J157" s="521"/>
      <c r="K157" s="521"/>
      <c r="L157" s="521"/>
      <c r="M157" s="521"/>
      <c r="N157" s="521"/>
      <c r="O157" s="521"/>
      <c r="P157" s="521"/>
      <c r="Q157" s="521"/>
      <c r="R157" s="521"/>
      <c r="S157" s="521"/>
      <c r="T157" s="565">
        <v>0</v>
      </c>
      <c r="U157" s="523"/>
      <c r="V157" s="506"/>
    </row>
    <row r="158" spans="1:23" x14ac:dyDescent="0.35">
      <c r="A158" s="420"/>
      <c r="B158" s="421"/>
      <c r="C158" s="421"/>
      <c r="D158" s="421"/>
      <c r="E158" s="421"/>
      <c r="F158" s="421"/>
      <c r="G158" s="421"/>
      <c r="H158" s="421"/>
      <c r="I158" s="421"/>
      <c r="J158" s="421"/>
      <c r="K158" s="421"/>
      <c r="L158" s="421"/>
      <c r="M158" s="421"/>
      <c r="N158" s="421"/>
      <c r="O158" s="421"/>
      <c r="P158" s="421"/>
      <c r="Q158" s="421"/>
      <c r="R158" s="421"/>
      <c r="S158" s="421"/>
      <c r="T158" s="433"/>
      <c r="U158" s="422"/>
      <c r="V158" s="405"/>
    </row>
    <row r="159" spans="1:23" x14ac:dyDescent="0.35">
      <c r="A159" s="407"/>
      <c r="B159" s="427"/>
      <c r="C159" s="427"/>
      <c r="D159" s="427"/>
      <c r="E159" s="427"/>
      <c r="F159" s="427"/>
      <c r="G159" s="427"/>
      <c r="H159" s="427"/>
      <c r="I159" s="427"/>
      <c r="J159" s="427"/>
      <c r="K159" s="427"/>
      <c r="L159" s="427"/>
      <c r="M159" s="427"/>
      <c r="N159" s="427"/>
      <c r="O159" s="427"/>
      <c r="P159" s="427"/>
      <c r="Q159" s="427"/>
      <c r="R159" s="427"/>
      <c r="S159" s="427"/>
      <c r="T159" s="437"/>
      <c r="U159" s="427"/>
      <c r="V159" s="405"/>
    </row>
    <row r="160" spans="1:23" x14ac:dyDescent="0.35">
      <c r="A160" s="407"/>
      <c r="B160" s="480" t="s">
        <v>24</v>
      </c>
      <c r="C160" s="409"/>
      <c r="D160" s="409"/>
      <c r="E160" s="409"/>
      <c r="F160" s="409"/>
      <c r="G160" s="409"/>
      <c r="H160" s="409"/>
      <c r="I160" s="409"/>
      <c r="J160" s="409"/>
      <c r="K160" s="409"/>
      <c r="L160" s="409"/>
      <c r="M160" s="409"/>
      <c r="N160" s="409"/>
      <c r="O160" s="409"/>
      <c r="P160" s="409"/>
      <c r="Q160" s="409"/>
      <c r="R160" s="409"/>
      <c r="S160" s="409"/>
      <c r="T160" s="425"/>
      <c r="U160" s="409"/>
      <c r="V160" s="405"/>
    </row>
    <row r="161" spans="1:22" s="507" customFormat="1" x14ac:dyDescent="0.35">
      <c r="A161" s="520"/>
      <c r="B161" s="521" t="s">
        <v>49</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s="507" customFormat="1" x14ac:dyDescent="0.35">
      <c r="A162" s="520"/>
      <c r="B162" s="521" t="s">
        <v>50</v>
      </c>
      <c r="C162" s="521"/>
      <c r="D162" s="521"/>
      <c r="E162" s="521"/>
      <c r="F162" s="521"/>
      <c r="G162" s="521"/>
      <c r="H162" s="521"/>
      <c r="I162" s="521"/>
      <c r="J162" s="521"/>
      <c r="K162" s="521"/>
      <c r="L162" s="521"/>
      <c r="M162" s="521"/>
      <c r="N162" s="521"/>
      <c r="O162" s="521"/>
      <c r="P162" s="521"/>
      <c r="Q162" s="521"/>
      <c r="R162" s="521"/>
      <c r="S162" s="521"/>
      <c r="T162" s="574" t="s">
        <v>125</v>
      </c>
      <c r="U162" s="523"/>
      <c r="V162" s="506"/>
    </row>
    <row r="163" spans="1:22" s="507" customFormat="1" x14ac:dyDescent="0.35">
      <c r="A163" s="520"/>
      <c r="B163" s="521" t="s">
        <v>51</v>
      </c>
      <c r="C163" s="521"/>
      <c r="D163" s="521"/>
      <c r="E163" s="521"/>
      <c r="F163" s="521"/>
      <c r="G163" s="521"/>
      <c r="H163" s="521"/>
      <c r="I163" s="521"/>
      <c r="J163" s="521"/>
      <c r="K163" s="521"/>
      <c r="L163" s="521"/>
      <c r="M163" s="521"/>
      <c r="N163" s="521"/>
      <c r="O163" s="521"/>
      <c r="P163" s="521"/>
      <c r="Q163" s="521"/>
      <c r="R163" s="521"/>
      <c r="S163" s="521"/>
      <c r="T163" s="574" t="s">
        <v>125</v>
      </c>
      <c r="U163" s="523"/>
      <c r="V163" s="506"/>
    </row>
    <row r="164" spans="1:22" s="507" customFormat="1" x14ac:dyDescent="0.35">
      <c r="A164" s="520"/>
      <c r="B164" s="521" t="s">
        <v>52</v>
      </c>
      <c r="C164" s="521"/>
      <c r="D164" s="521"/>
      <c r="E164" s="521"/>
      <c r="F164" s="521"/>
      <c r="G164" s="521"/>
      <c r="H164" s="521"/>
      <c r="I164" s="521"/>
      <c r="J164" s="521"/>
      <c r="K164" s="521"/>
      <c r="L164" s="521"/>
      <c r="M164" s="521"/>
      <c r="N164" s="521"/>
      <c r="O164" s="521"/>
      <c r="P164" s="521"/>
      <c r="Q164" s="521"/>
      <c r="R164" s="521"/>
      <c r="S164" s="521"/>
      <c r="T164" s="574" t="s">
        <v>125</v>
      </c>
      <c r="U164" s="523"/>
      <c r="V164" s="506"/>
    </row>
    <row r="165" spans="1:22" x14ac:dyDescent="0.35">
      <c r="A165" s="407"/>
      <c r="B165" s="427"/>
      <c r="C165" s="427"/>
      <c r="D165" s="427"/>
      <c r="E165" s="427"/>
      <c r="F165" s="427"/>
      <c r="G165" s="427"/>
      <c r="H165" s="427"/>
      <c r="I165" s="427"/>
      <c r="J165" s="427"/>
      <c r="K165" s="427"/>
      <c r="L165" s="427"/>
      <c r="M165" s="427"/>
      <c r="N165" s="427"/>
      <c r="O165" s="427"/>
      <c r="P165" s="427"/>
      <c r="Q165" s="427"/>
      <c r="R165" s="427"/>
      <c r="S165" s="427"/>
      <c r="T165" s="437"/>
      <c r="U165" s="427"/>
      <c r="V165" s="405"/>
    </row>
    <row r="166" spans="1:22" x14ac:dyDescent="0.35">
      <c r="A166" s="407"/>
      <c r="B166" s="480" t="s">
        <v>53</v>
      </c>
      <c r="C166" s="409"/>
      <c r="D166" s="409"/>
      <c r="E166" s="409"/>
      <c r="F166" s="409"/>
      <c r="G166" s="409"/>
      <c r="H166" s="409"/>
      <c r="I166" s="409"/>
      <c r="J166" s="409"/>
      <c r="K166" s="409"/>
      <c r="L166" s="409"/>
      <c r="M166" s="409"/>
      <c r="N166" s="409"/>
      <c r="O166" s="409"/>
      <c r="P166" s="409"/>
      <c r="Q166" s="409"/>
      <c r="R166" s="409"/>
      <c r="S166" s="409"/>
      <c r="T166" s="438"/>
      <c r="U166" s="409"/>
      <c r="V166" s="405"/>
    </row>
    <row r="167" spans="1:22" s="507" customFormat="1" x14ac:dyDescent="0.35">
      <c r="A167" s="520"/>
      <c r="B167" s="521" t="s">
        <v>54</v>
      </c>
      <c r="C167" s="521"/>
      <c r="D167" s="521"/>
      <c r="E167" s="521"/>
      <c r="F167" s="521"/>
      <c r="G167" s="521"/>
      <c r="H167" s="521"/>
      <c r="I167" s="521"/>
      <c r="J167" s="521"/>
      <c r="K167" s="521"/>
      <c r="L167" s="521"/>
      <c r="M167" s="521"/>
      <c r="N167" s="521"/>
      <c r="O167" s="521"/>
      <c r="P167" s="521"/>
      <c r="Q167" s="521"/>
      <c r="R167" s="521"/>
      <c r="S167" s="521"/>
      <c r="T167" s="565">
        <v>0</v>
      </c>
      <c r="U167" s="523"/>
      <c r="V167" s="506"/>
    </row>
    <row r="168" spans="1:22" s="507" customFormat="1" x14ac:dyDescent="0.35">
      <c r="A168" s="520"/>
      <c r="B168" s="521" t="s">
        <v>55</v>
      </c>
      <c r="C168" s="521"/>
      <c r="D168" s="521"/>
      <c r="E168" s="521"/>
      <c r="F168" s="521"/>
      <c r="G168" s="521"/>
      <c r="H168" s="521"/>
      <c r="I168" s="521"/>
      <c r="J168" s="521"/>
      <c r="K168" s="521"/>
      <c r="L168" s="521"/>
      <c r="M168" s="521"/>
      <c r="N168" s="521"/>
      <c r="O168" s="521"/>
      <c r="P168" s="521"/>
      <c r="Q168" s="521"/>
      <c r="R168" s="521"/>
      <c r="S168" s="521"/>
      <c r="T168" s="565">
        <v>282</v>
      </c>
      <c r="U168" s="523"/>
      <c r="V168" s="506"/>
    </row>
    <row r="169" spans="1:22" s="507" customFormat="1" x14ac:dyDescent="0.35">
      <c r="A169" s="520"/>
      <c r="B169" s="521" t="s">
        <v>56</v>
      </c>
      <c r="C169" s="521"/>
      <c r="D169" s="521"/>
      <c r="E169" s="521"/>
      <c r="F169" s="521"/>
      <c r="G169" s="521"/>
      <c r="H169" s="521"/>
      <c r="I169" s="521"/>
      <c r="J169" s="521"/>
      <c r="K169" s="521"/>
      <c r="L169" s="521"/>
      <c r="M169" s="521"/>
      <c r="N169" s="521"/>
      <c r="O169" s="521"/>
      <c r="P169" s="521"/>
      <c r="Q169" s="521"/>
      <c r="R169" s="521"/>
      <c r="S169" s="521"/>
      <c r="T169" s="565">
        <f>T168+T167</f>
        <v>282</v>
      </c>
      <c r="U169" s="523"/>
      <c r="V169" s="506"/>
    </row>
    <row r="170" spans="1:22" s="507" customFormat="1" x14ac:dyDescent="0.35">
      <c r="A170" s="520"/>
      <c r="B170" s="521" t="s">
        <v>314</v>
      </c>
      <c r="C170" s="521"/>
      <c r="D170" s="521"/>
      <c r="E170" s="521"/>
      <c r="F170" s="521"/>
      <c r="G170" s="521"/>
      <c r="H170" s="521"/>
      <c r="I170" s="521"/>
      <c r="J170" s="521"/>
      <c r="K170" s="521"/>
      <c r="L170" s="521"/>
      <c r="M170" s="521"/>
      <c r="N170" s="521"/>
      <c r="O170" s="521"/>
      <c r="P170" s="521"/>
      <c r="Q170" s="521"/>
      <c r="R170" s="521"/>
      <c r="S170" s="521"/>
      <c r="T170" s="565">
        <f>T114</f>
        <v>-282</v>
      </c>
      <c r="U170" s="523"/>
      <c r="V170" s="506"/>
    </row>
    <row r="171" spans="1:22" s="507" customFormat="1" x14ac:dyDescent="0.35">
      <c r="A171" s="520"/>
      <c r="B171" s="521" t="s">
        <v>57</v>
      </c>
      <c r="C171" s="521"/>
      <c r="D171" s="521"/>
      <c r="E171" s="521"/>
      <c r="F171" s="521"/>
      <c r="G171" s="521"/>
      <c r="H171" s="521"/>
      <c r="I171" s="521"/>
      <c r="J171" s="521"/>
      <c r="K171" s="521"/>
      <c r="L171" s="521"/>
      <c r="M171" s="521"/>
      <c r="N171" s="521"/>
      <c r="O171" s="521"/>
      <c r="P171" s="521"/>
      <c r="Q171" s="521"/>
      <c r="R171" s="521"/>
      <c r="S171" s="521"/>
      <c r="T171" s="565">
        <f>T169+T170</f>
        <v>0</v>
      </c>
      <c r="U171" s="523"/>
      <c r="V171" s="506"/>
    </row>
    <row r="172" spans="1:22" s="507" customFormat="1" x14ac:dyDescent="0.35">
      <c r="A172" s="520"/>
      <c r="B172" s="521" t="s">
        <v>285</v>
      </c>
      <c r="C172" s="521"/>
      <c r="D172" s="521"/>
      <c r="E172" s="521"/>
      <c r="F172" s="521"/>
      <c r="G172" s="521"/>
      <c r="H172" s="521"/>
      <c r="I172" s="521"/>
      <c r="J172" s="521"/>
      <c r="K172" s="521"/>
      <c r="L172" s="521"/>
      <c r="M172" s="521"/>
      <c r="N172" s="521"/>
      <c r="O172" s="521"/>
      <c r="P172" s="521"/>
      <c r="Q172" s="521"/>
      <c r="R172" s="521"/>
      <c r="S172" s="521"/>
      <c r="T172" s="565">
        <v>0</v>
      </c>
      <c r="U172" s="523"/>
      <c r="V172" s="506"/>
    </row>
    <row r="173" spans="1:22" ht="16" thickBot="1" x14ac:dyDescent="0.4">
      <c r="A173" s="407"/>
      <c r="B173" s="427"/>
      <c r="C173" s="427"/>
      <c r="D173" s="427"/>
      <c r="E173" s="427"/>
      <c r="F173" s="427"/>
      <c r="G173" s="427"/>
      <c r="H173" s="427"/>
      <c r="I173" s="427"/>
      <c r="J173" s="427"/>
      <c r="K173" s="427"/>
      <c r="L173" s="427"/>
      <c r="M173" s="427"/>
      <c r="N173" s="427"/>
      <c r="O173" s="427"/>
      <c r="P173" s="427"/>
      <c r="Q173" s="427"/>
      <c r="R173" s="427"/>
      <c r="S173" s="427"/>
      <c r="T173" s="437"/>
      <c r="U173" s="427"/>
      <c r="V173" s="405"/>
    </row>
    <row r="174" spans="1:22" x14ac:dyDescent="0.35">
      <c r="A174" s="403"/>
      <c r="B174" s="404"/>
      <c r="C174" s="404"/>
      <c r="D174" s="404"/>
      <c r="E174" s="404"/>
      <c r="F174" s="404"/>
      <c r="G174" s="404"/>
      <c r="H174" s="404"/>
      <c r="I174" s="404"/>
      <c r="J174" s="404"/>
      <c r="K174" s="404"/>
      <c r="L174" s="404"/>
      <c r="M174" s="404"/>
      <c r="N174" s="404"/>
      <c r="O174" s="404"/>
      <c r="P174" s="404"/>
      <c r="Q174" s="404"/>
      <c r="R174" s="404"/>
      <c r="S174" s="404"/>
      <c r="T174" s="439"/>
      <c r="U174" s="404"/>
      <c r="V174" s="405"/>
    </row>
    <row r="175" spans="1:22" x14ac:dyDescent="0.35">
      <c r="A175" s="407"/>
      <c r="B175" s="480" t="s">
        <v>58</v>
      </c>
      <c r="C175" s="409"/>
      <c r="D175" s="409"/>
      <c r="E175" s="409"/>
      <c r="F175" s="409"/>
      <c r="G175" s="409"/>
      <c r="H175" s="409"/>
      <c r="I175" s="409"/>
      <c r="J175" s="409"/>
      <c r="K175" s="409"/>
      <c r="L175" s="409"/>
      <c r="M175" s="409"/>
      <c r="N175" s="409"/>
      <c r="O175" s="409"/>
      <c r="P175" s="409"/>
      <c r="Q175" s="409"/>
      <c r="R175" s="409"/>
      <c r="S175" s="409"/>
      <c r="T175" s="425"/>
      <c r="U175" s="409"/>
      <c r="V175" s="405"/>
    </row>
    <row r="176" spans="1:22" x14ac:dyDescent="0.35">
      <c r="A176" s="407"/>
      <c r="B176" s="436"/>
      <c r="C176" s="409"/>
      <c r="D176" s="409"/>
      <c r="E176" s="409"/>
      <c r="F176" s="409"/>
      <c r="G176" s="409"/>
      <c r="H176" s="409"/>
      <c r="I176" s="409"/>
      <c r="J176" s="409"/>
      <c r="K176" s="409"/>
      <c r="L176" s="409"/>
      <c r="M176" s="409"/>
      <c r="N176" s="409"/>
      <c r="O176" s="409"/>
      <c r="P176" s="409"/>
      <c r="Q176" s="409"/>
      <c r="R176" s="409"/>
      <c r="S176" s="409"/>
      <c r="T176" s="425"/>
      <c r="U176" s="409"/>
      <c r="V176" s="405"/>
    </row>
    <row r="177" spans="1:22" s="507" customFormat="1" x14ac:dyDescent="0.35">
      <c r="A177" s="520"/>
      <c r="B177" s="521" t="s">
        <v>59</v>
      </c>
      <c r="C177" s="521"/>
      <c r="D177" s="521"/>
      <c r="E177" s="521"/>
      <c r="F177" s="521"/>
      <c r="G177" s="521"/>
      <c r="H177" s="521"/>
      <c r="I177" s="521"/>
      <c r="J177" s="521"/>
      <c r="K177" s="521"/>
      <c r="L177" s="521"/>
      <c r="M177" s="521"/>
      <c r="N177" s="521"/>
      <c r="O177" s="521"/>
      <c r="P177" s="521"/>
      <c r="Q177" s="521"/>
      <c r="R177" s="521"/>
      <c r="S177" s="521"/>
      <c r="T177" s="565">
        <f>T70</f>
        <v>315702</v>
      </c>
      <c r="U177" s="523"/>
      <c r="V177" s="506"/>
    </row>
    <row r="178" spans="1:22" s="507" customFormat="1" x14ac:dyDescent="0.35">
      <c r="A178" s="520"/>
      <c r="B178" s="521" t="s">
        <v>60</v>
      </c>
      <c r="C178" s="521"/>
      <c r="D178" s="521"/>
      <c r="E178" s="521"/>
      <c r="F178" s="521"/>
      <c r="G178" s="521"/>
      <c r="H178" s="521"/>
      <c r="I178" s="521"/>
      <c r="J178" s="521"/>
      <c r="K178" s="521"/>
      <c r="L178" s="521"/>
      <c r="M178" s="521"/>
      <c r="N178" s="521"/>
      <c r="O178" s="521"/>
      <c r="P178" s="521"/>
      <c r="Q178" s="521"/>
      <c r="R178" s="521"/>
      <c r="S178" s="521"/>
      <c r="T178" s="565">
        <f>T83</f>
        <v>315702</v>
      </c>
      <c r="U178" s="523"/>
      <c r="V178" s="506"/>
    </row>
    <row r="179" spans="1:22" ht="16" thickBot="1" x14ac:dyDescent="0.4">
      <c r="A179" s="407"/>
      <c r="B179" s="427"/>
      <c r="C179" s="427"/>
      <c r="D179" s="427"/>
      <c r="E179" s="427"/>
      <c r="F179" s="427"/>
      <c r="G179" s="427"/>
      <c r="H179" s="427"/>
      <c r="I179" s="427"/>
      <c r="J179" s="427"/>
      <c r="K179" s="427"/>
      <c r="L179" s="427"/>
      <c r="M179" s="427"/>
      <c r="N179" s="427"/>
      <c r="O179" s="427"/>
      <c r="P179" s="427"/>
      <c r="Q179" s="427"/>
      <c r="R179" s="427"/>
      <c r="S179" s="427"/>
      <c r="T179" s="437"/>
      <c r="U179" s="427"/>
      <c r="V179" s="405"/>
    </row>
    <row r="180" spans="1:22" x14ac:dyDescent="0.35">
      <c r="A180" s="403"/>
      <c r="B180" s="404"/>
      <c r="C180" s="404"/>
      <c r="D180" s="404"/>
      <c r="E180" s="404"/>
      <c r="F180" s="404"/>
      <c r="G180" s="404"/>
      <c r="H180" s="404"/>
      <c r="I180" s="404"/>
      <c r="J180" s="404"/>
      <c r="K180" s="404"/>
      <c r="L180" s="404"/>
      <c r="M180" s="404"/>
      <c r="N180" s="404"/>
      <c r="O180" s="404"/>
      <c r="P180" s="404"/>
      <c r="Q180" s="404"/>
      <c r="R180" s="404"/>
      <c r="S180" s="404"/>
      <c r="T180" s="439"/>
      <c r="U180" s="404"/>
      <c r="V180" s="405"/>
    </row>
    <row r="181" spans="1:22" x14ac:dyDescent="0.35">
      <c r="A181" s="407"/>
      <c r="B181" s="480" t="s">
        <v>61</v>
      </c>
      <c r="C181" s="426"/>
      <c r="D181" s="426"/>
      <c r="E181" s="426"/>
      <c r="F181" s="426"/>
      <c r="G181" s="426"/>
      <c r="H181" s="440"/>
      <c r="I181" s="440"/>
      <c r="J181" s="440"/>
      <c r="K181" s="440"/>
      <c r="L181" s="440"/>
      <c r="M181" s="440"/>
      <c r="N181" s="440"/>
      <c r="O181" s="440"/>
      <c r="P181" s="440"/>
      <c r="Q181" s="481" t="s">
        <v>105</v>
      </c>
      <c r="R181" s="481" t="s">
        <v>187</v>
      </c>
      <c r="S181" s="411"/>
      <c r="T181" s="482" t="s">
        <v>121</v>
      </c>
      <c r="U181" s="441"/>
      <c r="V181" s="405"/>
    </row>
    <row r="182" spans="1:22" s="507" customFormat="1" x14ac:dyDescent="0.35">
      <c r="A182" s="520"/>
      <c r="B182" s="521" t="s">
        <v>62</v>
      </c>
      <c r="C182" s="521"/>
      <c r="D182" s="521"/>
      <c r="E182" s="521"/>
      <c r="F182" s="521"/>
      <c r="G182" s="521"/>
      <c r="H182" s="521"/>
      <c r="I182" s="521"/>
      <c r="J182" s="521"/>
      <c r="K182" s="521"/>
      <c r="L182" s="521"/>
      <c r="M182" s="521"/>
      <c r="N182" s="521"/>
      <c r="O182" s="521"/>
      <c r="P182" s="521"/>
      <c r="Q182" s="565">
        <f>+T34*0.16</f>
        <v>160056.48000000001</v>
      </c>
      <c r="R182" s="543"/>
      <c r="S182" s="521"/>
      <c r="T182" s="565"/>
      <c r="U182" s="523"/>
      <c r="V182" s="506"/>
    </row>
    <row r="183" spans="1:22" s="507" customFormat="1" x14ac:dyDescent="0.35">
      <c r="A183" s="520"/>
      <c r="B183" s="521" t="s">
        <v>63</v>
      </c>
      <c r="C183" s="521"/>
      <c r="D183" s="521"/>
      <c r="E183" s="521"/>
      <c r="F183" s="521"/>
      <c r="G183" s="521"/>
      <c r="H183" s="521"/>
      <c r="I183" s="521"/>
      <c r="J183" s="521"/>
      <c r="K183" s="521"/>
      <c r="L183" s="521"/>
      <c r="M183" s="521"/>
      <c r="N183" s="521"/>
      <c r="O183" s="521"/>
      <c r="P183" s="521"/>
      <c r="Q183" s="565">
        <f>+'Aug 19'!Q185</f>
        <v>47259</v>
      </c>
      <c r="R183" s="565">
        <f>+'Aug 19'!R185</f>
        <v>5998</v>
      </c>
      <c r="S183" s="521"/>
      <c r="T183" s="565">
        <f>Q183+R183</f>
        <v>53257</v>
      </c>
      <c r="U183" s="523"/>
      <c r="V183" s="506"/>
    </row>
    <row r="184" spans="1:22" s="507" customFormat="1" x14ac:dyDescent="0.35">
      <c r="A184" s="520"/>
      <c r="B184" s="521" t="s">
        <v>64</v>
      </c>
      <c r="C184" s="521"/>
      <c r="D184" s="521"/>
      <c r="E184" s="521"/>
      <c r="F184" s="521"/>
      <c r="G184" s="521"/>
      <c r="H184" s="521"/>
      <c r="I184" s="521"/>
      <c r="J184" s="521"/>
      <c r="K184" s="521"/>
      <c r="L184" s="521"/>
      <c r="M184" s="521"/>
      <c r="N184" s="521"/>
      <c r="O184" s="521"/>
      <c r="P184" s="521"/>
      <c r="Q184" s="564">
        <v>0</v>
      </c>
      <c r="R184" s="564">
        <v>0</v>
      </c>
      <c r="S184" s="521"/>
      <c r="T184" s="565">
        <f>Q184+R184</f>
        <v>0</v>
      </c>
      <c r="U184" s="523"/>
      <c r="V184" s="506"/>
    </row>
    <row r="185" spans="1:22" s="507" customFormat="1" x14ac:dyDescent="0.35">
      <c r="A185" s="520"/>
      <c r="B185" s="521" t="s">
        <v>65</v>
      </c>
      <c r="C185" s="521"/>
      <c r="D185" s="521"/>
      <c r="E185" s="521"/>
      <c r="F185" s="521"/>
      <c r="G185" s="521"/>
      <c r="H185" s="521"/>
      <c r="I185" s="521"/>
      <c r="J185" s="521"/>
      <c r="K185" s="521"/>
      <c r="L185" s="521"/>
      <c r="M185" s="521"/>
      <c r="N185" s="521"/>
      <c r="O185" s="521"/>
      <c r="P185" s="521"/>
      <c r="Q185" s="565">
        <f>Q183+Q184</f>
        <v>47259</v>
      </c>
      <c r="R185" s="565">
        <f>R184+R183</f>
        <v>5998</v>
      </c>
      <c r="S185" s="521"/>
      <c r="T185" s="565">
        <f>Q185+R185</f>
        <v>53257</v>
      </c>
      <c r="U185" s="523"/>
      <c r="V185" s="506"/>
    </row>
    <row r="186" spans="1:22" s="507" customFormat="1" x14ac:dyDescent="0.35">
      <c r="A186" s="520"/>
      <c r="B186" s="521" t="s">
        <v>66</v>
      </c>
      <c r="C186" s="521"/>
      <c r="D186" s="521"/>
      <c r="E186" s="521"/>
      <c r="F186" s="521"/>
      <c r="G186" s="521"/>
      <c r="H186" s="521"/>
      <c r="I186" s="521"/>
      <c r="J186" s="521"/>
      <c r="K186" s="521"/>
      <c r="L186" s="521"/>
      <c r="M186" s="521"/>
      <c r="N186" s="521"/>
      <c r="O186" s="521"/>
      <c r="P186" s="521"/>
      <c r="Q186" s="565">
        <f>Q182-Q185-R185</f>
        <v>106799.48000000001</v>
      </c>
      <c r="R186" s="543"/>
      <c r="S186" s="521"/>
      <c r="T186" s="565"/>
      <c r="U186" s="523"/>
      <c r="V186" s="506"/>
    </row>
    <row r="187" spans="1:22" ht="16" thickBot="1" x14ac:dyDescent="0.4">
      <c r="A187" s="407"/>
      <c r="B187" s="427"/>
      <c r="C187" s="427"/>
      <c r="D187" s="427"/>
      <c r="E187" s="427"/>
      <c r="F187" s="427"/>
      <c r="G187" s="427"/>
      <c r="H187" s="427"/>
      <c r="I187" s="427"/>
      <c r="J187" s="427"/>
      <c r="K187" s="427"/>
      <c r="L187" s="427"/>
      <c r="M187" s="427"/>
      <c r="N187" s="427"/>
      <c r="O187" s="427"/>
      <c r="P187" s="427"/>
      <c r="Q187" s="427"/>
      <c r="R187" s="427"/>
      <c r="S187" s="427"/>
      <c r="T187" s="437"/>
      <c r="U187" s="427"/>
      <c r="V187" s="405"/>
    </row>
    <row r="188" spans="1:22" x14ac:dyDescent="0.35">
      <c r="A188" s="403"/>
      <c r="B188" s="404"/>
      <c r="C188" s="404"/>
      <c r="D188" s="404"/>
      <c r="E188" s="404"/>
      <c r="F188" s="404"/>
      <c r="G188" s="404"/>
      <c r="H188" s="404"/>
      <c r="I188" s="404"/>
      <c r="J188" s="404"/>
      <c r="K188" s="404"/>
      <c r="L188" s="404"/>
      <c r="M188" s="404"/>
      <c r="N188" s="404"/>
      <c r="O188" s="404"/>
      <c r="P188" s="404"/>
      <c r="Q188" s="404"/>
      <c r="R188" s="404"/>
      <c r="S188" s="404"/>
      <c r="T188" s="439"/>
      <c r="U188" s="404"/>
      <c r="V188" s="405"/>
    </row>
    <row r="189" spans="1:22" x14ac:dyDescent="0.35">
      <c r="A189" s="407"/>
      <c r="B189" s="480" t="s">
        <v>67</v>
      </c>
      <c r="C189" s="409"/>
      <c r="D189" s="409"/>
      <c r="E189" s="409"/>
      <c r="F189" s="409"/>
      <c r="G189" s="409"/>
      <c r="H189" s="409"/>
      <c r="I189" s="409"/>
      <c r="J189" s="409"/>
      <c r="K189" s="409"/>
      <c r="L189" s="409"/>
      <c r="M189" s="409"/>
      <c r="N189" s="409"/>
      <c r="O189" s="409"/>
      <c r="P189" s="409"/>
      <c r="Q189" s="409"/>
      <c r="R189" s="409"/>
      <c r="S189" s="409"/>
      <c r="T189" s="442"/>
      <c r="U189" s="409"/>
      <c r="V189" s="405"/>
    </row>
    <row r="190" spans="1:22" s="507" customFormat="1" x14ac:dyDescent="0.35">
      <c r="A190" s="520"/>
      <c r="B190" s="521" t="s">
        <v>68</v>
      </c>
      <c r="C190" s="521"/>
      <c r="D190" s="521"/>
      <c r="E190" s="521"/>
      <c r="F190" s="521"/>
      <c r="G190" s="521"/>
      <c r="H190" s="521"/>
      <c r="I190" s="521"/>
      <c r="J190" s="521"/>
      <c r="K190" s="521"/>
      <c r="L190" s="521"/>
      <c r="M190" s="521"/>
      <c r="N190" s="521"/>
      <c r="O190" s="521"/>
      <c r="P190" s="521"/>
      <c r="Q190" s="521"/>
      <c r="R190" s="521"/>
      <c r="S190" s="521"/>
      <c r="T190" s="574">
        <f>(T99+T101+T102+T103+T104+T105)/-(T106+T107)</f>
        <v>2.9356223175965663</v>
      </c>
      <c r="U190" s="523" t="s">
        <v>122</v>
      </c>
      <c r="V190" s="506"/>
    </row>
    <row r="191" spans="1:22" s="507" customFormat="1" x14ac:dyDescent="0.35">
      <c r="A191" s="520"/>
      <c r="B191" s="521" t="s">
        <v>69</v>
      </c>
      <c r="C191" s="521"/>
      <c r="D191" s="521"/>
      <c r="E191" s="521"/>
      <c r="F191" s="521"/>
      <c r="G191" s="521"/>
      <c r="H191" s="521"/>
      <c r="I191" s="521"/>
      <c r="J191" s="521"/>
      <c r="K191" s="521"/>
      <c r="L191" s="521"/>
      <c r="M191" s="521"/>
      <c r="N191" s="521"/>
      <c r="O191" s="521"/>
      <c r="P191" s="521"/>
      <c r="Q191" s="521"/>
      <c r="R191" s="521"/>
      <c r="S191" s="521"/>
      <c r="T191" s="575">
        <v>1.82</v>
      </c>
      <c r="U191" s="523" t="s">
        <v>122</v>
      </c>
      <c r="V191" s="506"/>
    </row>
    <row r="192" spans="1:22" s="507" customFormat="1" x14ac:dyDescent="0.35">
      <c r="A192" s="520"/>
      <c r="B192" s="521" t="s">
        <v>70</v>
      </c>
      <c r="C192" s="521"/>
      <c r="D192" s="521"/>
      <c r="E192" s="521"/>
      <c r="F192" s="521"/>
      <c r="G192" s="521"/>
      <c r="H192" s="521"/>
      <c r="I192" s="521"/>
      <c r="J192" s="521"/>
      <c r="K192" s="521"/>
      <c r="L192" s="521"/>
      <c r="M192" s="521"/>
      <c r="N192" s="521"/>
      <c r="O192" s="521"/>
      <c r="P192" s="521"/>
      <c r="Q192" s="521"/>
      <c r="R192" s="521"/>
      <c r="S192" s="521"/>
      <c r="T192" s="574">
        <f>(T99+T101+T102+T103+T104+T105+T106+T107)/-(T108+T109)</f>
        <v>14.09375</v>
      </c>
      <c r="U192" s="523" t="s">
        <v>122</v>
      </c>
      <c r="V192" s="506"/>
    </row>
    <row r="193" spans="1:22" s="507" customFormat="1" x14ac:dyDescent="0.35">
      <c r="A193" s="520"/>
      <c r="B193" s="521" t="s">
        <v>71</v>
      </c>
      <c r="C193" s="521"/>
      <c r="D193" s="521"/>
      <c r="E193" s="521"/>
      <c r="F193" s="521"/>
      <c r="G193" s="521"/>
      <c r="H193" s="521"/>
      <c r="I193" s="521"/>
      <c r="J193" s="521"/>
      <c r="K193" s="521"/>
      <c r="L193" s="521"/>
      <c r="M193" s="521"/>
      <c r="N193" s="521"/>
      <c r="O193" s="521"/>
      <c r="P193" s="521"/>
      <c r="Q193" s="521"/>
      <c r="R193" s="521"/>
      <c r="S193" s="521"/>
      <c r="T193" s="575">
        <v>9.9600000000000009</v>
      </c>
      <c r="U193" s="523" t="s">
        <v>122</v>
      </c>
      <c r="V193" s="506"/>
    </row>
    <row r="194" spans="1:22" s="507" customFormat="1" x14ac:dyDescent="0.35">
      <c r="A194" s="520"/>
      <c r="B194" s="521" t="s">
        <v>232</v>
      </c>
      <c r="C194" s="521"/>
      <c r="D194" s="521"/>
      <c r="E194" s="521"/>
      <c r="F194" s="521"/>
      <c r="G194" s="521"/>
      <c r="H194" s="521"/>
      <c r="I194" s="521"/>
      <c r="J194" s="521"/>
      <c r="K194" s="521"/>
      <c r="L194" s="521"/>
      <c r="M194" s="521"/>
      <c r="N194" s="521"/>
      <c r="O194" s="521"/>
      <c r="P194" s="521"/>
      <c r="Q194" s="521"/>
      <c r="R194" s="521"/>
      <c r="S194" s="521"/>
      <c r="T194" s="574">
        <f>(T99+T101+T102+T103+T104+T105+T106+T107+T108+T109)/-(T110+T111)</f>
        <v>5.8194444444444446</v>
      </c>
      <c r="U194" s="523" t="s">
        <v>122</v>
      </c>
      <c r="V194" s="506"/>
    </row>
    <row r="195" spans="1:22" s="507" customFormat="1" x14ac:dyDescent="0.35">
      <c r="A195" s="520"/>
      <c r="B195" s="521" t="s">
        <v>233</v>
      </c>
      <c r="C195" s="521"/>
      <c r="D195" s="521"/>
      <c r="E195" s="521"/>
      <c r="F195" s="521"/>
      <c r="G195" s="521"/>
      <c r="H195" s="521"/>
      <c r="I195" s="521"/>
      <c r="J195" s="521"/>
      <c r="K195" s="521"/>
      <c r="L195" s="521"/>
      <c r="M195" s="521"/>
      <c r="N195" s="521"/>
      <c r="O195" s="521"/>
      <c r="P195" s="521"/>
      <c r="Q195" s="521"/>
      <c r="R195" s="521"/>
      <c r="S195" s="521"/>
      <c r="T195" s="575">
        <v>4.7300000000000004</v>
      </c>
      <c r="U195" s="523" t="s">
        <v>122</v>
      </c>
      <c r="V195" s="506"/>
    </row>
    <row r="196" spans="1:22" s="507" customFormat="1" x14ac:dyDescent="0.35">
      <c r="A196" s="520"/>
      <c r="B196" s="521"/>
      <c r="C196" s="521"/>
      <c r="D196" s="521"/>
      <c r="E196" s="521"/>
      <c r="F196" s="521"/>
      <c r="G196" s="521"/>
      <c r="H196" s="521"/>
      <c r="I196" s="521"/>
      <c r="J196" s="521"/>
      <c r="K196" s="521"/>
      <c r="L196" s="521"/>
      <c r="M196" s="521"/>
      <c r="N196" s="521"/>
      <c r="O196" s="521"/>
      <c r="P196" s="521"/>
      <c r="Q196" s="521"/>
      <c r="R196" s="521"/>
      <c r="S196" s="521"/>
      <c r="T196" s="521"/>
      <c r="U196" s="523"/>
      <c r="V196" s="506"/>
    </row>
    <row r="197" spans="1:22" s="507" customFormat="1" x14ac:dyDescent="0.35">
      <c r="A197" s="508"/>
      <c r="B197" s="554"/>
      <c r="C197" s="554"/>
      <c r="D197" s="554"/>
      <c r="E197" s="554"/>
      <c r="F197" s="554"/>
      <c r="G197" s="554"/>
      <c r="H197" s="554"/>
      <c r="I197" s="554"/>
      <c r="J197" s="554"/>
      <c r="K197" s="554"/>
      <c r="L197" s="554"/>
      <c r="M197" s="554"/>
      <c r="N197" s="554"/>
      <c r="O197" s="554"/>
      <c r="P197" s="554"/>
      <c r="Q197" s="554"/>
      <c r="R197" s="554"/>
      <c r="S197" s="554"/>
      <c r="T197" s="554"/>
      <c r="U197" s="554"/>
      <c r="V197" s="506"/>
    </row>
    <row r="198" spans="1:22" s="507" customFormat="1" x14ac:dyDescent="0.35">
      <c r="A198" s="508"/>
      <c r="B198" s="509"/>
      <c r="C198" s="509"/>
      <c r="D198" s="509"/>
      <c r="E198" s="509"/>
      <c r="F198" s="509"/>
      <c r="G198" s="509"/>
      <c r="H198" s="509"/>
      <c r="I198" s="509"/>
      <c r="J198" s="509"/>
      <c r="K198" s="509"/>
      <c r="L198" s="509"/>
      <c r="M198" s="509"/>
      <c r="N198" s="509"/>
      <c r="O198" s="509"/>
      <c r="P198" s="509"/>
      <c r="Q198" s="509"/>
      <c r="R198" s="509"/>
      <c r="S198" s="509"/>
      <c r="T198" s="509"/>
      <c r="U198" s="509"/>
      <c r="V198" s="506"/>
    </row>
    <row r="199" spans="1:22" s="507" customFormat="1" ht="19" thickBot="1" x14ac:dyDescent="0.5">
      <c r="A199" s="559"/>
      <c r="B199" s="560" t="str">
        <f>B138</f>
        <v>PM10 INVESTOR REPORT QUARTER ENDING NOVEMBER 2019</v>
      </c>
      <c r="C199" s="561"/>
      <c r="D199" s="561"/>
      <c r="E199" s="561"/>
      <c r="F199" s="561"/>
      <c r="G199" s="561"/>
      <c r="H199" s="561"/>
      <c r="I199" s="561"/>
      <c r="J199" s="561"/>
      <c r="K199" s="561"/>
      <c r="L199" s="561"/>
      <c r="M199" s="561"/>
      <c r="N199" s="561"/>
      <c r="O199" s="561"/>
      <c r="P199" s="561"/>
      <c r="Q199" s="561"/>
      <c r="R199" s="561"/>
      <c r="S199" s="561"/>
      <c r="T199" s="561"/>
      <c r="U199" s="563"/>
      <c r="V199" s="506"/>
    </row>
    <row r="200" spans="1:22" x14ac:dyDescent="0.35">
      <c r="A200" s="615"/>
      <c r="B200" s="616" t="s">
        <v>72</v>
      </c>
      <c r="C200" s="619"/>
      <c r="D200" s="619"/>
      <c r="E200" s="619"/>
      <c r="F200" s="619"/>
      <c r="G200" s="620"/>
      <c r="H200" s="620"/>
      <c r="I200" s="620"/>
      <c r="J200" s="620"/>
      <c r="K200" s="620"/>
      <c r="L200" s="620"/>
      <c r="M200" s="620"/>
      <c r="N200" s="620"/>
      <c r="O200" s="620"/>
      <c r="P200" s="620"/>
      <c r="Q200" s="620"/>
      <c r="R200" s="620">
        <v>43798</v>
      </c>
      <c r="S200" s="617"/>
      <c r="T200" s="617"/>
      <c r="U200" s="617"/>
      <c r="V200" s="405"/>
    </row>
    <row r="201" spans="1:22" x14ac:dyDescent="0.35">
      <c r="A201" s="443"/>
      <c r="B201" s="444"/>
      <c r="C201" s="445"/>
      <c r="D201" s="445"/>
      <c r="E201" s="445"/>
      <c r="F201" s="445"/>
      <c r="G201" s="446"/>
      <c r="H201" s="446"/>
      <c r="I201" s="446"/>
      <c r="J201" s="446"/>
      <c r="K201" s="446"/>
      <c r="L201" s="446"/>
      <c r="M201" s="446"/>
      <c r="N201" s="446"/>
      <c r="O201" s="446"/>
      <c r="P201" s="446"/>
      <c r="Q201" s="446"/>
      <c r="R201" s="446"/>
      <c r="S201" s="409"/>
      <c r="T201" s="409"/>
      <c r="U201" s="409"/>
      <c r="V201" s="405"/>
    </row>
    <row r="202" spans="1:22" s="507" customFormat="1" x14ac:dyDescent="0.35">
      <c r="A202" s="520"/>
      <c r="B202" s="521" t="s">
        <v>73</v>
      </c>
      <c r="C202" s="576"/>
      <c r="D202" s="576"/>
      <c r="E202" s="576"/>
      <c r="F202" s="576"/>
      <c r="G202" s="548"/>
      <c r="H202" s="548"/>
      <c r="I202" s="548"/>
      <c r="J202" s="548"/>
      <c r="K202" s="548"/>
      <c r="L202" s="548"/>
      <c r="M202" s="548"/>
      <c r="N202" s="548"/>
      <c r="O202" s="548"/>
      <c r="P202" s="548"/>
      <c r="Q202" s="548"/>
      <c r="R202" s="540">
        <v>5.3960000000000001E-2</v>
      </c>
      <c r="S202" s="521"/>
      <c r="T202" s="521"/>
      <c r="U202" s="523"/>
      <c r="V202" s="506"/>
    </row>
    <row r="203" spans="1:22" s="507" customFormat="1" x14ac:dyDescent="0.35">
      <c r="A203" s="520"/>
      <c r="B203" s="521" t="s">
        <v>159</v>
      </c>
      <c r="C203" s="576"/>
      <c r="D203" s="576"/>
      <c r="E203" s="576"/>
      <c r="F203" s="576"/>
      <c r="G203" s="548"/>
      <c r="H203" s="548"/>
      <c r="I203" s="548"/>
      <c r="J203" s="548"/>
      <c r="K203" s="548"/>
      <c r="L203" s="548"/>
      <c r="M203" s="548"/>
      <c r="N203" s="548"/>
      <c r="O203" s="548"/>
      <c r="P203" s="548"/>
      <c r="Q203" s="548"/>
      <c r="R203" s="540">
        <v>4.7399999999999998E-2</v>
      </c>
      <c r="S203" s="521"/>
      <c r="T203" s="521"/>
      <c r="U203" s="523"/>
      <c r="V203" s="506"/>
    </row>
    <row r="204" spans="1:22" s="507" customFormat="1" x14ac:dyDescent="0.35">
      <c r="A204" s="520"/>
      <c r="B204" s="521" t="s">
        <v>74</v>
      </c>
      <c r="C204" s="576"/>
      <c r="D204" s="576"/>
      <c r="E204" s="576"/>
      <c r="F204" s="576"/>
      <c r="G204" s="548"/>
      <c r="H204" s="548"/>
      <c r="I204" s="548"/>
      <c r="J204" s="548"/>
      <c r="K204" s="548"/>
      <c r="L204" s="548"/>
      <c r="M204" s="548"/>
      <c r="N204" s="548"/>
      <c r="O204" s="548"/>
      <c r="P204" s="548"/>
      <c r="Q204" s="548"/>
      <c r="R204" s="540">
        <f>R202-R203</f>
        <v>6.5600000000000033E-3</v>
      </c>
      <c r="S204" s="521"/>
      <c r="T204" s="521"/>
      <c r="U204" s="523"/>
      <c r="V204" s="506"/>
    </row>
    <row r="205" spans="1:22" s="507" customFormat="1" x14ac:dyDescent="0.35">
      <c r="A205" s="520"/>
      <c r="B205" s="521" t="s">
        <v>75</v>
      </c>
      <c r="C205" s="576"/>
      <c r="D205" s="576"/>
      <c r="E205" s="576"/>
      <c r="F205" s="576"/>
      <c r="G205" s="548"/>
      <c r="H205" s="548"/>
      <c r="I205" s="548"/>
      <c r="J205" s="548"/>
      <c r="K205" s="548"/>
      <c r="L205" s="548"/>
      <c r="M205" s="548"/>
      <c r="N205" s="548"/>
      <c r="O205" s="548"/>
      <c r="P205" s="548"/>
      <c r="Q205" s="548"/>
      <c r="R205" s="540">
        <v>2.496E-2</v>
      </c>
      <c r="S205" s="521"/>
      <c r="T205" s="521"/>
      <c r="U205" s="523"/>
      <c r="V205" s="506"/>
    </row>
    <row r="206" spans="1:22" s="507" customFormat="1" x14ac:dyDescent="0.35">
      <c r="A206" s="520"/>
      <c r="B206" s="521" t="s">
        <v>262</v>
      </c>
      <c r="C206" s="576"/>
      <c r="D206" s="576"/>
      <c r="E206" s="576"/>
      <c r="F206" s="576"/>
      <c r="G206" s="548"/>
      <c r="H206" s="548"/>
      <c r="I206" s="548"/>
      <c r="J206" s="548"/>
      <c r="K206" s="548"/>
      <c r="L206" s="548"/>
      <c r="M206" s="548"/>
      <c r="N206" s="548"/>
      <c r="O206" s="548"/>
      <c r="P206" s="548"/>
      <c r="Q206" s="548"/>
      <c r="R206" s="540">
        <f>T43</f>
        <v>1.2573312066116164E-2</v>
      </c>
      <c r="S206" s="521"/>
      <c r="T206" s="521"/>
      <c r="U206" s="523"/>
      <c r="V206" s="506"/>
    </row>
    <row r="207" spans="1:22" s="507" customFormat="1" x14ac:dyDescent="0.35">
      <c r="A207" s="520"/>
      <c r="B207" s="521" t="s">
        <v>76</v>
      </c>
      <c r="C207" s="576"/>
      <c r="D207" s="576"/>
      <c r="E207" s="576"/>
      <c r="F207" s="576"/>
      <c r="G207" s="548"/>
      <c r="H207" s="548"/>
      <c r="I207" s="548"/>
      <c r="J207" s="548"/>
      <c r="K207" s="548"/>
      <c r="L207" s="548"/>
      <c r="M207" s="548"/>
      <c r="N207" s="548"/>
      <c r="O207" s="548"/>
      <c r="P207" s="548"/>
      <c r="Q207" s="548"/>
      <c r="R207" s="540">
        <f>R205-R206</f>
        <v>1.2386687933883835E-2</v>
      </c>
      <c r="S207" s="521"/>
      <c r="T207" s="521"/>
      <c r="U207" s="523"/>
      <c r="V207" s="506"/>
    </row>
    <row r="208" spans="1:22" s="507" customFormat="1" x14ac:dyDescent="0.35">
      <c r="A208" s="520"/>
      <c r="B208" s="521" t="s">
        <v>269</v>
      </c>
      <c r="C208" s="576"/>
      <c r="D208" s="576"/>
      <c r="E208" s="576"/>
      <c r="F208" s="576"/>
      <c r="G208" s="548"/>
      <c r="H208" s="548"/>
      <c r="I208" s="548"/>
      <c r="J208" s="548"/>
      <c r="K208" s="548"/>
      <c r="L208" s="548"/>
      <c r="M208" s="548"/>
      <c r="N208" s="548"/>
      <c r="O208" s="548"/>
      <c r="P208" s="548"/>
      <c r="Q208" s="548"/>
      <c r="R208" s="540">
        <f>+T99/L67</f>
        <v>7.0624401520950255E-3</v>
      </c>
      <c r="S208" s="521"/>
      <c r="T208" s="521"/>
      <c r="U208" s="523"/>
      <c r="V208" s="506"/>
    </row>
    <row r="209" spans="1:22" s="507" customFormat="1" x14ac:dyDescent="0.35">
      <c r="A209" s="520"/>
      <c r="B209" s="521" t="s">
        <v>251</v>
      </c>
      <c r="C209" s="576"/>
      <c r="D209" s="576"/>
      <c r="E209" s="576"/>
      <c r="F209" s="576"/>
      <c r="G209" s="548"/>
      <c r="H209" s="548"/>
      <c r="I209" s="548"/>
      <c r="J209" s="548"/>
      <c r="K209" s="548"/>
      <c r="L209" s="548"/>
      <c r="M209" s="548"/>
      <c r="N209" s="548"/>
      <c r="O209" s="548"/>
      <c r="P209" s="548"/>
      <c r="Q209" s="548"/>
      <c r="R209" s="577">
        <v>51653</v>
      </c>
      <c r="S209" s="521"/>
      <c r="T209" s="521"/>
      <c r="U209" s="523"/>
      <c r="V209" s="506"/>
    </row>
    <row r="210" spans="1:22" s="507" customFormat="1" x14ac:dyDescent="0.35">
      <c r="A210" s="520"/>
      <c r="B210" s="521" t="s">
        <v>252</v>
      </c>
      <c r="C210" s="576"/>
      <c r="D210" s="576"/>
      <c r="E210" s="576"/>
      <c r="F210" s="576"/>
      <c r="G210" s="548"/>
      <c r="H210" s="548"/>
      <c r="I210" s="548"/>
      <c r="J210" s="548"/>
      <c r="K210" s="548"/>
      <c r="L210" s="548"/>
      <c r="M210" s="548"/>
      <c r="N210" s="548"/>
      <c r="O210" s="548"/>
      <c r="P210" s="548"/>
      <c r="Q210" s="548"/>
      <c r="R210" s="577">
        <v>51653</v>
      </c>
      <c r="S210" s="521"/>
      <c r="T210" s="521"/>
      <c r="U210" s="523"/>
      <c r="V210" s="506"/>
    </row>
    <row r="211" spans="1:22" s="507" customFormat="1" x14ac:dyDescent="0.35">
      <c r="A211" s="520"/>
      <c r="B211" s="521" t="s">
        <v>253</v>
      </c>
      <c r="C211" s="576"/>
      <c r="D211" s="576"/>
      <c r="E211" s="576"/>
      <c r="F211" s="576"/>
      <c r="G211" s="548"/>
      <c r="H211" s="548"/>
      <c r="I211" s="548"/>
      <c r="J211" s="548"/>
      <c r="K211" s="548"/>
      <c r="L211" s="548"/>
      <c r="M211" s="548"/>
      <c r="N211" s="548"/>
      <c r="O211" s="548"/>
      <c r="P211" s="548"/>
      <c r="Q211" s="548"/>
      <c r="R211" s="577">
        <v>51653</v>
      </c>
      <c r="S211" s="521"/>
      <c r="T211" s="521"/>
      <c r="U211" s="523"/>
      <c r="V211" s="506"/>
    </row>
    <row r="212" spans="1:22" s="507" customFormat="1" x14ac:dyDescent="0.35">
      <c r="A212" s="520"/>
      <c r="B212" s="521" t="s">
        <v>77</v>
      </c>
      <c r="C212" s="576"/>
      <c r="D212" s="576"/>
      <c r="E212" s="576"/>
      <c r="F212" s="576"/>
      <c r="G212" s="548"/>
      <c r="H212" s="548"/>
      <c r="I212" s="548"/>
      <c r="J212" s="548"/>
      <c r="K212" s="548"/>
      <c r="L212" s="548"/>
      <c r="M212" s="548"/>
      <c r="N212" s="548"/>
      <c r="O212" s="548"/>
      <c r="P212" s="548"/>
      <c r="Q212" s="548"/>
      <c r="R212" s="546">
        <v>21.48</v>
      </c>
      <c r="S212" s="521" t="s">
        <v>117</v>
      </c>
      <c r="T212" s="521"/>
      <c r="U212" s="523"/>
      <c r="V212" s="506"/>
    </row>
    <row r="213" spans="1:22" s="507" customFormat="1" x14ac:dyDescent="0.35">
      <c r="A213" s="520"/>
      <c r="B213" s="521" t="s">
        <v>78</v>
      </c>
      <c r="C213" s="576"/>
      <c r="D213" s="576"/>
      <c r="E213" s="576"/>
      <c r="F213" s="576"/>
      <c r="G213" s="548"/>
      <c r="H213" s="548"/>
      <c r="I213" s="548"/>
      <c r="J213" s="548"/>
      <c r="K213" s="548"/>
      <c r="L213" s="548"/>
      <c r="M213" s="548"/>
      <c r="N213" s="548"/>
      <c r="O213" s="548"/>
      <c r="P213" s="548"/>
      <c r="Q213" s="548"/>
      <c r="R213" s="546">
        <v>8.65</v>
      </c>
      <c r="S213" s="521" t="s">
        <v>117</v>
      </c>
      <c r="T213" s="521"/>
      <c r="U213" s="523"/>
      <c r="V213" s="506"/>
    </row>
    <row r="214" spans="1:22" s="507" customFormat="1" x14ac:dyDescent="0.35">
      <c r="A214" s="520"/>
      <c r="B214" s="521" t="s">
        <v>79</v>
      </c>
      <c r="C214" s="576"/>
      <c r="D214" s="576"/>
      <c r="E214" s="576"/>
      <c r="F214" s="576"/>
      <c r="G214" s="548"/>
      <c r="H214" s="548"/>
      <c r="I214" s="548"/>
      <c r="J214" s="548"/>
      <c r="K214" s="548"/>
      <c r="L214" s="548"/>
      <c r="M214" s="548"/>
      <c r="N214" s="548"/>
      <c r="O214" s="548"/>
      <c r="P214" s="548"/>
      <c r="Q214" s="548"/>
      <c r="R214" s="540">
        <f>+N67/L67</f>
        <v>2.1664554235759685E-2</v>
      </c>
      <c r="S214" s="521"/>
      <c r="T214" s="521"/>
      <c r="U214" s="523"/>
      <c r="V214" s="506"/>
    </row>
    <row r="215" spans="1:22" s="507" customFormat="1" x14ac:dyDescent="0.35">
      <c r="A215" s="520"/>
      <c r="B215" s="521" t="s">
        <v>80</v>
      </c>
      <c r="C215" s="576"/>
      <c r="D215" s="576"/>
      <c r="E215" s="576"/>
      <c r="F215" s="576"/>
      <c r="G215" s="548"/>
      <c r="H215" s="548"/>
      <c r="I215" s="548"/>
      <c r="J215" s="548"/>
      <c r="K215" s="548"/>
      <c r="L215" s="548"/>
      <c r="M215" s="548"/>
      <c r="N215" s="548"/>
      <c r="O215" s="548"/>
      <c r="P215" s="548"/>
      <c r="Q215" s="548"/>
      <c r="R215" s="540">
        <v>8.3099999999999993E-2</v>
      </c>
      <c r="S215" s="521"/>
      <c r="T215" s="521"/>
      <c r="U215" s="523"/>
      <c r="V215" s="506"/>
    </row>
    <row r="216" spans="1:22" x14ac:dyDescent="0.35">
      <c r="A216" s="443"/>
      <c r="B216" s="423"/>
      <c r="C216" s="423"/>
      <c r="D216" s="423"/>
      <c r="E216" s="423"/>
      <c r="F216" s="423"/>
      <c r="G216" s="423"/>
      <c r="H216" s="423"/>
      <c r="I216" s="423"/>
      <c r="J216" s="423"/>
      <c r="K216" s="423"/>
      <c r="L216" s="423"/>
      <c r="M216" s="423"/>
      <c r="N216" s="423"/>
      <c r="O216" s="423"/>
      <c r="P216" s="423"/>
      <c r="Q216" s="423"/>
      <c r="R216" s="447"/>
      <c r="S216" s="423"/>
      <c r="T216" s="448"/>
      <c r="U216" s="423"/>
      <c r="V216" s="405"/>
    </row>
    <row r="217" spans="1:22" x14ac:dyDescent="0.35">
      <c r="A217" s="621"/>
      <c r="B217" s="610" t="s">
        <v>81</v>
      </c>
      <c r="C217" s="611"/>
      <c r="D217" s="611"/>
      <c r="E217" s="611"/>
      <c r="F217" s="627"/>
      <c r="G217" s="611"/>
      <c r="H217" s="611"/>
      <c r="I217" s="611"/>
      <c r="J217" s="611"/>
      <c r="K217" s="611"/>
      <c r="L217" s="611"/>
      <c r="M217" s="611"/>
      <c r="N217" s="611"/>
      <c r="O217" s="611"/>
      <c r="P217" s="611"/>
      <c r="Q217" s="611" t="s">
        <v>106</v>
      </c>
      <c r="R217" s="627" t="s">
        <v>113</v>
      </c>
      <c r="S217" s="628"/>
      <c r="T217" s="628"/>
      <c r="U217" s="614"/>
      <c r="V217" s="405"/>
    </row>
    <row r="218" spans="1:22" s="507" customFormat="1" x14ac:dyDescent="0.35">
      <c r="A218" s="622"/>
      <c r="B218" s="554" t="s">
        <v>82</v>
      </c>
      <c r="C218" s="571"/>
      <c r="D218" s="571"/>
      <c r="E218" s="571"/>
      <c r="F218" s="554"/>
      <c r="G218" s="554"/>
      <c r="H218" s="623"/>
      <c r="I218" s="623"/>
      <c r="J218" s="623"/>
      <c r="K218" s="623"/>
      <c r="L218" s="623"/>
      <c r="M218" s="623"/>
      <c r="N218" s="623"/>
      <c r="O218" s="623"/>
      <c r="P218" s="623"/>
      <c r="Q218" s="623">
        <v>0</v>
      </c>
      <c r="R218" s="624">
        <v>0</v>
      </c>
      <c r="S218" s="554"/>
      <c r="T218" s="625"/>
      <c r="U218" s="626"/>
      <c r="V218" s="506"/>
    </row>
    <row r="219" spans="1:22" s="507" customFormat="1" x14ac:dyDescent="0.35">
      <c r="A219" s="578"/>
      <c r="B219" s="521" t="s">
        <v>152</v>
      </c>
      <c r="C219" s="564"/>
      <c r="D219" s="564"/>
      <c r="E219" s="564"/>
      <c r="F219" s="521"/>
      <c r="G219" s="521"/>
      <c r="H219" s="527"/>
      <c r="I219" s="527"/>
      <c r="J219" s="527"/>
      <c r="K219" s="527"/>
      <c r="L219" s="527"/>
      <c r="M219" s="527"/>
      <c r="N219" s="527"/>
      <c r="O219" s="527"/>
      <c r="P219" s="527"/>
      <c r="Q219" s="579">
        <f>+P271</f>
        <v>52</v>
      </c>
      <c r="R219" s="580">
        <f>+R271</f>
        <v>7638</v>
      </c>
      <c r="S219" s="521"/>
      <c r="T219" s="581"/>
      <c r="U219" s="582"/>
      <c r="V219" s="506"/>
    </row>
    <row r="220" spans="1:22" s="507" customFormat="1" x14ac:dyDescent="0.35">
      <c r="A220" s="578"/>
      <c r="B220" s="521" t="s">
        <v>83</v>
      </c>
      <c r="C220" s="564"/>
      <c r="D220" s="564"/>
      <c r="E220" s="564"/>
      <c r="F220" s="521"/>
      <c r="G220" s="521"/>
      <c r="H220" s="527"/>
      <c r="I220" s="527"/>
      <c r="J220" s="527"/>
      <c r="K220" s="527"/>
      <c r="L220" s="527"/>
      <c r="M220" s="527"/>
      <c r="N220" s="527"/>
      <c r="O220" s="527"/>
      <c r="P220" s="527"/>
      <c r="Q220" s="527">
        <v>0</v>
      </c>
      <c r="R220" s="580">
        <v>0</v>
      </c>
      <c r="S220" s="521"/>
      <c r="T220" s="581"/>
      <c r="U220" s="582"/>
      <c r="V220" s="506"/>
    </row>
    <row r="221" spans="1:22" x14ac:dyDescent="0.35">
      <c r="A221" s="449"/>
      <c r="B221" s="479" t="s">
        <v>84</v>
      </c>
      <c r="C221" s="451"/>
      <c r="D221" s="451"/>
      <c r="E221" s="451"/>
      <c r="F221" s="421"/>
      <c r="G221" s="421"/>
      <c r="H221" s="421"/>
      <c r="I221" s="421"/>
      <c r="J221" s="421"/>
      <c r="K221" s="421"/>
      <c r="L221" s="421"/>
      <c r="M221" s="421"/>
      <c r="N221" s="421"/>
      <c r="O221" s="421"/>
      <c r="P221" s="421"/>
      <c r="Q221" s="417"/>
      <c r="R221" s="580">
        <v>0</v>
      </c>
      <c r="S221" s="421"/>
      <c r="T221" s="452"/>
      <c r="U221" s="453"/>
      <c r="V221" s="405"/>
    </row>
    <row r="222" spans="1:22" x14ac:dyDescent="0.35">
      <c r="A222" s="449"/>
      <c r="B222" s="479" t="s">
        <v>85</v>
      </c>
      <c r="C222" s="451"/>
      <c r="D222" s="451"/>
      <c r="E222" s="451"/>
      <c r="F222" s="421"/>
      <c r="G222" s="421"/>
      <c r="H222" s="421"/>
      <c r="I222" s="421"/>
      <c r="J222" s="421"/>
      <c r="K222" s="421"/>
      <c r="L222" s="421"/>
      <c r="M222" s="421"/>
      <c r="N222" s="421"/>
      <c r="O222" s="421"/>
      <c r="P222" s="421"/>
      <c r="Q222" s="417"/>
      <c r="R222" s="585" t="s">
        <v>114</v>
      </c>
      <c r="S222" s="421"/>
      <c r="T222" s="452"/>
      <c r="U222" s="453"/>
      <c r="V222" s="405"/>
    </row>
    <row r="223" spans="1:22" x14ac:dyDescent="0.35">
      <c r="A223" s="454"/>
      <c r="B223" s="479" t="s">
        <v>86</v>
      </c>
      <c r="C223" s="455"/>
      <c r="D223" s="455"/>
      <c r="E223" s="455"/>
      <c r="F223" s="455"/>
      <c r="G223" s="421"/>
      <c r="H223" s="421"/>
      <c r="I223" s="421"/>
      <c r="J223" s="421"/>
      <c r="K223" s="421"/>
      <c r="L223" s="421"/>
      <c r="M223" s="421"/>
      <c r="N223" s="421"/>
      <c r="O223" s="421"/>
      <c r="P223" s="421"/>
      <c r="Q223" s="417"/>
      <c r="R223" s="580"/>
      <c r="S223" s="421"/>
      <c r="T223" s="452"/>
      <c r="U223" s="456"/>
      <c r="V223" s="405"/>
    </row>
    <row r="224" spans="1:22" s="507" customFormat="1" x14ac:dyDescent="0.35">
      <c r="A224" s="583"/>
      <c r="B224" s="521" t="s">
        <v>87</v>
      </c>
      <c r="C224" s="521"/>
      <c r="D224" s="521"/>
      <c r="E224" s="521"/>
      <c r="F224" s="521"/>
      <c r="G224" s="521"/>
      <c r="H224" s="521"/>
      <c r="I224" s="521"/>
      <c r="J224" s="521"/>
      <c r="K224" s="521"/>
      <c r="L224" s="521"/>
      <c r="M224" s="521"/>
      <c r="N224" s="521"/>
      <c r="O224" s="521"/>
      <c r="P224" s="521"/>
      <c r="Q224" s="527"/>
      <c r="R224" s="580">
        <f>+T168</f>
        <v>282</v>
      </c>
      <c r="S224" s="521"/>
      <c r="T224" s="581"/>
      <c r="U224" s="584"/>
      <c r="V224" s="506"/>
    </row>
    <row r="225" spans="1:23" s="507" customFormat="1" x14ac:dyDescent="0.35">
      <c r="A225" s="578"/>
      <c r="B225" s="521" t="s">
        <v>88</v>
      </c>
      <c r="C225" s="564"/>
      <c r="D225" s="564"/>
      <c r="E225" s="564"/>
      <c r="F225" s="564"/>
      <c r="G225" s="521"/>
      <c r="H225" s="521"/>
      <c r="I225" s="521"/>
      <c r="J225" s="521"/>
      <c r="K225" s="521"/>
      <c r="L225" s="521"/>
      <c r="M225" s="521"/>
      <c r="N225" s="521"/>
      <c r="O225" s="521"/>
      <c r="P225" s="521"/>
      <c r="Q225" s="580"/>
      <c r="R225" s="580">
        <f>'Aug 19'!R225+R224</f>
        <v>7871</v>
      </c>
      <c r="S225" s="521"/>
      <c r="T225" s="581"/>
      <c r="U225" s="584"/>
      <c r="V225" s="506"/>
    </row>
    <row r="226" spans="1:23" x14ac:dyDescent="0.35">
      <c r="A226" s="454"/>
      <c r="B226" s="479" t="s">
        <v>295</v>
      </c>
      <c r="C226" s="455"/>
      <c r="D226" s="455"/>
      <c r="E226" s="455"/>
      <c r="F226" s="455"/>
      <c r="G226" s="421"/>
      <c r="H226" s="421"/>
      <c r="I226" s="421"/>
      <c r="J226" s="421"/>
      <c r="K226" s="421"/>
      <c r="L226" s="421"/>
      <c r="M226" s="421"/>
      <c r="N226" s="421"/>
      <c r="O226" s="421"/>
      <c r="P226" s="421"/>
      <c r="Q226" s="419"/>
      <c r="R226" s="450"/>
      <c r="S226" s="421"/>
      <c r="T226" s="452"/>
      <c r="U226" s="456"/>
      <c r="V226" s="405"/>
    </row>
    <row r="227" spans="1:23" s="507" customFormat="1" x14ac:dyDescent="0.35">
      <c r="A227" s="583"/>
      <c r="B227" s="521" t="s">
        <v>292</v>
      </c>
      <c r="C227" s="521"/>
      <c r="D227" s="521"/>
      <c r="E227" s="521"/>
      <c r="F227" s="521"/>
      <c r="G227" s="521"/>
      <c r="H227" s="521"/>
      <c r="I227" s="521"/>
      <c r="J227" s="521"/>
      <c r="K227" s="521"/>
      <c r="L227" s="521"/>
      <c r="M227" s="521"/>
      <c r="N227" s="521"/>
      <c r="O227" s="521"/>
      <c r="P227" s="521"/>
      <c r="Q227" s="527">
        <v>0</v>
      </c>
      <c r="R227" s="580">
        <v>0</v>
      </c>
      <c r="S227" s="521"/>
      <c r="T227" s="581"/>
      <c r="U227" s="584"/>
      <c r="V227" s="506"/>
    </row>
    <row r="228" spans="1:23" s="507" customFormat="1" x14ac:dyDescent="0.35">
      <c r="A228" s="578"/>
      <c r="B228" s="521" t="s">
        <v>90</v>
      </c>
      <c r="C228" s="543"/>
      <c r="D228" s="543"/>
      <c r="E228" s="543"/>
      <c r="F228" s="586"/>
      <c r="G228" s="521"/>
      <c r="H228" s="521"/>
      <c r="I228" s="521"/>
      <c r="J228" s="521"/>
      <c r="K228" s="521"/>
      <c r="L228" s="521"/>
      <c r="M228" s="521"/>
      <c r="N228" s="521"/>
      <c r="O228" s="521"/>
      <c r="P228" s="521"/>
      <c r="Q228" s="521"/>
      <c r="R228" s="585">
        <v>0</v>
      </c>
      <c r="S228" s="521"/>
      <c r="T228" s="581"/>
      <c r="U228" s="584"/>
      <c r="V228" s="506"/>
    </row>
    <row r="229" spans="1:23" s="507" customFormat="1" x14ac:dyDescent="0.35">
      <c r="A229" s="578"/>
      <c r="B229" s="521" t="s">
        <v>91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79" t="s">
        <v>260</v>
      </c>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s="507" customFormat="1" x14ac:dyDescent="0.35">
      <c r="A231" s="578"/>
      <c r="B231" s="521" t="s">
        <v>292</v>
      </c>
      <c r="C231" s="543"/>
      <c r="D231" s="543"/>
      <c r="E231" s="543"/>
      <c r="F231" s="586"/>
      <c r="G231" s="521"/>
      <c r="H231" s="521"/>
      <c r="I231" s="521"/>
      <c r="J231" s="521"/>
      <c r="K231" s="521"/>
      <c r="L231" s="521"/>
      <c r="M231" s="521"/>
      <c r="N231" s="521"/>
      <c r="O231" s="521"/>
      <c r="P231" s="521"/>
      <c r="Q231" s="527">
        <v>5</v>
      </c>
      <c r="R231" s="580">
        <v>1282</v>
      </c>
      <c r="S231" s="521"/>
      <c r="T231" s="581"/>
      <c r="U231" s="584"/>
      <c r="V231" s="506"/>
    </row>
    <row r="232" spans="1:23" s="507" customFormat="1" x14ac:dyDescent="0.35">
      <c r="A232" s="578"/>
      <c r="B232" s="521" t="s">
        <v>261</v>
      </c>
      <c r="C232" s="543"/>
      <c r="D232" s="543"/>
      <c r="E232" s="543"/>
      <c r="F232" s="586"/>
      <c r="G232" s="521"/>
      <c r="H232" s="521"/>
      <c r="I232" s="521"/>
      <c r="J232" s="521"/>
      <c r="K232" s="521"/>
      <c r="L232" s="521"/>
      <c r="M232" s="521"/>
      <c r="N232" s="521"/>
      <c r="O232" s="521"/>
      <c r="P232" s="521"/>
      <c r="Q232" s="521"/>
      <c r="R232" s="585">
        <v>6.63</v>
      </c>
      <c r="S232" s="521"/>
      <c r="T232" s="581"/>
      <c r="U232" s="584"/>
      <c r="V232" s="506"/>
    </row>
    <row r="233" spans="1:23" x14ac:dyDescent="0.35">
      <c r="A233" s="449"/>
      <c r="B233" s="455"/>
      <c r="C233" s="457"/>
      <c r="D233" s="457"/>
      <c r="E233" s="457"/>
      <c r="F233" s="458"/>
      <c r="G233" s="421"/>
      <c r="H233" s="421"/>
      <c r="I233" s="421"/>
      <c r="J233" s="421"/>
      <c r="K233" s="421"/>
      <c r="L233" s="421"/>
      <c r="M233" s="421"/>
      <c r="N233" s="421"/>
      <c r="O233" s="421"/>
      <c r="P233" s="421"/>
      <c r="Q233" s="417"/>
      <c r="R233" s="459"/>
      <c r="S233" s="421"/>
      <c r="T233" s="452"/>
      <c r="U233" s="456"/>
      <c r="V233" s="405"/>
    </row>
    <row r="234" spans="1:23" x14ac:dyDescent="0.35">
      <c r="A234" s="449"/>
      <c r="B234" s="455"/>
      <c r="C234" s="457"/>
      <c r="D234" s="457"/>
      <c r="E234" s="457"/>
      <c r="F234" s="458"/>
      <c r="G234" s="421"/>
      <c r="H234" s="421"/>
      <c r="I234" s="421"/>
      <c r="J234" s="421"/>
      <c r="K234" s="421"/>
      <c r="L234" s="421"/>
      <c r="M234" s="421"/>
      <c r="N234" s="421"/>
      <c r="O234" s="421"/>
      <c r="P234" s="421"/>
      <c r="Q234" s="421"/>
      <c r="R234" s="460"/>
      <c r="S234" s="421"/>
      <c r="T234" s="452"/>
      <c r="U234" s="456"/>
      <c r="V234" s="405"/>
    </row>
    <row r="235" spans="1:23" ht="18.5" x14ac:dyDescent="0.45">
      <c r="A235" s="449"/>
      <c r="B235" s="478" t="s">
        <v>178</v>
      </c>
      <c r="C235" s="457"/>
      <c r="D235" s="457"/>
      <c r="E235" s="457"/>
      <c r="F235" s="458"/>
      <c r="G235" s="421"/>
      <c r="H235" s="421"/>
      <c r="I235" s="421"/>
      <c r="J235" s="421"/>
      <c r="K235" s="421"/>
      <c r="L235" s="421"/>
      <c r="M235" s="421"/>
      <c r="N235" s="475" t="s">
        <v>361</v>
      </c>
      <c r="O235" s="421"/>
      <c r="P235" s="421"/>
      <c r="Q235" s="421"/>
      <c r="R235" s="460"/>
      <c r="S235" s="421"/>
      <c r="T235" s="452"/>
      <c r="U235" s="456"/>
      <c r="V235" s="405"/>
    </row>
    <row r="236" spans="1:23" x14ac:dyDescent="0.35">
      <c r="A236" s="461"/>
      <c r="B236" s="462"/>
      <c r="C236" s="463"/>
      <c r="D236" s="463"/>
      <c r="E236" s="463"/>
      <c r="F236" s="464"/>
      <c r="G236" s="427"/>
      <c r="H236" s="427"/>
      <c r="I236" s="427"/>
      <c r="J236" s="427"/>
      <c r="K236" s="427"/>
      <c r="L236" s="427"/>
      <c r="M236" s="427"/>
      <c r="N236" s="427"/>
      <c r="O236" s="427"/>
      <c r="P236" s="427"/>
      <c r="Q236" s="427"/>
      <c r="R236" s="465"/>
      <c r="S236" s="427"/>
      <c r="T236" s="466"/>
      <c r="U236" s="467"/>
      <c r="V236" s="405"/>
    </row>
    <row r="237" spans="1:23" x14ac:dyDescent="0.35">
      <c r="A237" s="599"/>
      <c r="B237" s="610" t="s">
        <v>307</v>
      </c>
      <c r="C237" s="611"/>
      <c r="D237" s="611"/>
      <c r="E237" s="611"/>
      <c r="F237" s="627"/>
      <c r="G237" s="611"/>
      <c r="H237" s="611"/>
      <c r="I237" s="611"/>
      <c r="J237" s="611"/>
      <c r="K237" s="611"/>
      <c r="L237" s="611"/>
      <c r="M237" s="611"/>
      <c r="N237" s="611"/>
      <c r="O237" s="611"/>
      <c r="P237" s="627" t="s">
        <v>106</v>
      </c>
      <c r="Q237" s="611" t="s">
        <v>107</v>
      </c>
      <c r="R237" s="627" t="s">
        <v>115</v>
      </c>
      <c r="S237" s="611" t="s">
        <v>107</v>
      </c>
      <c r="T237" s="628"/>
      <c r="U237" s="631"/>
      <c r="V237" s="405"/>
    </row>
    <row r="238" spans="1:23" s="507" customFormat="1" x14ac:dyDescent="0.35">
      <c r="A238" s="508"/>
      <c r="B238" s="571" t="s">
        <v>92</v>
      </c>
      <c r="C238" s="629"/>
      <c r="D238" s="629"/>
      <c r="E238" s="629"/>
      <c r="F238" s="554"/>
      <c r="G238" s="629"/>
      <c r="H238" s="629"/>
      <c r="I238" s="629"/>
      <c r="J238" s="629"/>
      <c r="K238" s="629"/>
      <c r="L238" s="629"/>
      <c r="M238" s="629"/>
      <c r="N238" s="629"/>
      <c r="O238" s="629"/>
      <c r="P238" s="571">
        <f t="shared" ref="P238:P245" si="1">+P250+P262+P274</f>
        <v>2370</v>
      </c>
      <c r="Q238" s="589">
        <f t="shared" ref="Q238:Q245" si="2">P238/$P$247</f>
        <v>0.99038863351441708</v>
      </c>
      <c r="R238" s="594">
        <f t="shared" ref="R238:R245" si="3">+R250+R262+R274</f>
        <v>313742</v>
      </c>
      <c r="S238" s="589">
        <f t="shared" ref="S238:S245" si="4">R238/$R$247</f>
        <v>0.99379161361030344</v>
      </c>
      <c r="T238" s="625"/>
      <c r="U238" s="630"/>
      <c r="V238" s="506"/>
    </row>
    <row r="239" spans="1:23" s="507" customFormat="1" x14ac:dyDescent="0.35">
      <c r="A239" s="520"/>
      <c r="B239" s="564" t="s">
        <v>93</v>
      </c>
      <c r="C239" s="588"/>
      <c r="D239" s="588"/>
      <c r="E239" s="588"/>
      <c r="F239" s="521"/>
      <c r="G239" s="587"/>
      <c r="H239" s="588"/>
      <c r="I239" s="588"/>
      <c r="J239" s="588"/>
      <c r="K239" s="588"/>
      <c r="L239" s="588"/>
      <c r="M239" s="588"/>
      <c r="N239" s="588"/>
      <c r="O239" s="588"/>
      <c r="P239" s="564">
        <f t="shared" si="1"/>
        <v>6</v>
      </c>
      <c r="Q239" s="587">
        <f t="shared" si="2"/>
        <v>2.5073129962390303E-3</v>
      </c>
      <c r="R239" s="565">
        <f t="shared" si="3"/>
        <v>819</v>
      </c>
      <c r="S239" s="587">
        <f t="shared" si="4"/>
        <v>2.594218598551799E-3</v>
      </c>
      <c r="T239" s="581"/>
      <c r="U239" s="584"/>
      <c r="V239" s="506"/>
      <c r="W239" s="570"/>
    </row>
    <row r="240" spans="1:23" s="507" customFormat="1" x14ac:dyDescent="0.35">
      <c r="A240" s="520"/>
      <c r="B240" s="564" t="s">
        <v>94</v>
      </c>
      <c r="C240" s="588"/>
      <c r="D240" s="588"/>
      <c r="E240" s="588"/>
      <c r="F240" s="521"/>
      <c r="G240" s="587"/>
      <c r="H240" s="588"/>
      <c r="I240" s="588"/>
      <c r="J240" s="588"/>
      <c r="K240" s="588"/>
      <c r="L240" s="588"/>
      <c r="M240" s="588"/>
      <c r="N240" s="588"/>
      <c r="O240" s="588"/>
      <c r="P240" s="564">
        <f t="shared" si="1"/>
        <v>15</v>
      </c>
      <c r="Q240" s="587">
        <f t="shared" si="2"/>
        <v>6.2682824905975765E-3</v>
      </c>
      <c r="R240" s="565">
        <f t="shared" si="3"/>
        <v>949</v>
      </c>
      <c r="S240" s="587">
        <f t="shared" si="4"/>
        <v>3.005999328480656E-3</v>
      </c>
      <c r="T240" s="581"/>
      <c r="U240" s="584"/>
      <c r="V240" s="506"/>
    </row>
    <row r="241" spans="1:23" s="507" customFormat="1" x14ac:dyDescent="0.35">
      <c r="A241" s="520"/>
      <c r="B241" s="564" t="s">
        <v>164</v>
      </c>
      <c r="C241" s="588"/>
      <c r="D241" s="588"/>
      <c r="E241" s="588"/>
      <c r="F241" s="521"/>
      <c r="G241" s="587"/>
      <c r="H241" s="588"/>
      <c r="I241" s="588"/>
      <c r="J241" s="588"/>
      <c r="K241" s="588"/>
      <c r="L241" s="588"/>
      <c r="M241" s="588"/>
      <c r="N241" s="588"/>
      <c r="O241" s="588"/>
      <c r="P241" s="564">
        <f t="shared" si="1"/>
        <v>1</v>
      </c>
      <c r="Q241" s="587">
        <f t="shared" si="2"/>
        <v>4.1788549937317178E-4</v>
      </c>
      <c r="R241" s="565">
        <f t="shared" si="3"/>
        <v>64</v>
      </c>
      <c r="S241" s="587">
        <f t="shared" si="4"/>
        <v>2.0272282088805267E-4</v>
      </c>
      <c r="T241" s="581"/>
      <c r="U241" s="584"/>
      <c r="V241" s="506"/>
      <c r="W241" s="570"/>
    </row>
    <row r="242" spans="1:23" s="507" customFormat="1" x14ac:dyDescent="0.35">
      <c r="A242" s="520"/>
      <c r="B242" s="564" t="s">
        <v>165</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7">
        <f t="shared" si="4"/>
        <v>0</v>
      </c>
      <c r="T242" s="581"/>
      <c r="U242" s="584"/>
      <c r="V242" s="506"/>
    </row>
    <row r="243" spans="1:23" s="507" customFormat="1" x14ac:dyDescent="0.35">
      <c r="A243" s="520"/>
      <c r="B243" s="564" t="s">
        <v>166</v>
      </c>
      <c r="C243" s="588"/>
      <c r="D243" s="588"/>
      <c r="E243" s="588"/>
      <c r="F243" s="521"/>
      <c r="G243" s="587"/>
      <c r="H243" s="588"/>
      <c r="I243" s="588"/>
      <c r="J243" s="588"/>
      <c r="K243" s="588"/>
      <c r="L243" s="588"/>
      <c r="M243" s="588"/>
      <c r="N243" s="588"/>
      <c r="O243" s="588"/>
      <c r="P243" s="564">
        <f t="shared" si="1"/>
        <v>1</v>
      </c>
      <c r="Q243" s="587">
        <f t="shared" si="2"/>
        <v>4.1788549937317178E-4</v>
      </c>
      <c r="R243" s="565">
        <f t="shared" si="3"/>
        <v>128</v>
      </c>
      <c r="S243" s="587">
        <f t="shared" si="4"/>
        <v>4.0544564177610534E-4</v>
      </c>
      <c r="T243" s="581"/>
      <c r="U243" s="584"/>
      <c r="V243" s="506"/>
      <c r="W243" s="570"/>
    </row>
    <row r="244" spans="1:23" s="507" customFormat="1" x14ac:dyDescent="0.35">
      <c r="A244" s="520"/>
      <c r="B244" s="564" t="s">
        <v>167</v>
      </c>
      <c r="C244" s="588"/>
      <c r="D244" s="588"/>
      <c r="E244" s="588"/>
      <c r="F244" s="521"/>
      <c r="G244" s="587"/>
      <c r="H244" s="588"/>
      <c r="I244" s="588"/>
      <c r="J244" s="588"/>
      <c r="K244" s="588"/>
      <c r="L244" s="588"/>
      <c r="M244" s="588"/>
      <c r="N244" s="588"/>
      <c r="O244" s="588"/>
      <c r="P244" s="564">
        <f t="shared" si="1"/>
        <v>0</v>
      </c>
      <c r="Q244" s="587">
        <f t="shared" si="2"/>
        <v>0</v>
      </c>
      <c r="R244" s="565">
        <f t="shared" si="3"/>
        <v>0</v>
      </c>
      <c r="S244" s="587">
        <f t="shared" si="4"/>
        <v>0</v>
      </c>
      <c r="T244" s="581"/>
      <c r="U244" s="584"/>
      <c r="V244" s="506"/>
    </row>
    <row r="245" spans="1:23" s="507" customFormat="1" x14ac:dyDescent="0.35">
      <c r="A245" s="520"/>
      <c r="B245" s="564" t="s">
        <v>168</v>
      </c>
      <c r="C245" s="588"/>
      <c r="D245" s="588"/>
      <c r="E245" s="588"/>
      <c r="F245" s="521"/>
      <c r="G245" s="587"/>
      <c r="H245" s="588"/>
      <c r="I245" s="588"/>
      <c r="J245" s="588"/>
      <c r="K245" s="588"/>
      <c r="L245" s="588"/>
      <c r="M245" s="588"/>
      <c r="N245" s="588"/>
      <c r="O245" s="588"/>
      <c r="P245" s="564">
        <f t="shared" si="1"/>
        <v>0</v>
      </c>
      <c r="Q245" s="587">
        <f t="shared" si="2"/>
        <v>0</v>
      </c>
      <c r="R245" s="565">
        <f t="shared" si="3"/>
        <v>0</v>
      </c>
      <c r="S245" s="589">
        <f t="shared" si="4"/>
        <v>0</v>
      </c>
      <c r="T245" s="581"/>
      <c r="U245" s="584"/>
      <c r="V245" s="506"/>
      <c r="W245" s="570"/>
    </row>
    <row r="246" spans="1:23" s="507" customFormat="1" x14ac:dyDescent="0.35">
      <c r="A246" s="520"/>
      <c r="B246" s="564"/>
      <c r="C246" s="588"/>
      <c r="D246" s="588"/>
      <c r="E246" s="588"/>
      <c r="F246" s="521"/>
      <c r="G246" s="587"/>
      <c r="H246" s="588"/>
      <c r="I246" s="588"/>
      <c r="J246" s="588"/>
      <c r="K246" s="588"/>
      <c r="L246" s="588"/>
      <c r="M246" s="588"/>
      <c r="N246" s="588"/>
      <c r="O246" s="588"/>
      <c r="P246" s="564"/>
      <c r="Q246" s="587"/>
      <c r="R246" s="565"/>
      <c r="S246" s="587"/>
      <c r="T246" s="581"/>
      <c r="U246" s="584"/>
      <c r="V246" s="506"/>
    </row>
    <row r="247" spans="1:23" s="507" customFormat="1" x14ac:dyDescent="0.35">
      <c r="A247" s="520"/>
      <c r="B247" s="521"/>
      <c r="C247" s="521"/>
      <c r="D247" s="521"/>
      <c r="E247" s="521"/>
      <c r="F247" s="521"/>
      <c r="G247" s="521"/>
      <c r="H247" s="590"/>
      <c r="I247" s="590"/>
      <c r="J247" s="590"/>
      <c r="K247" s="590"/>
      <c r="L247" s="590"/>
      <c r="M247" s="590"/>
      <c r="N247" s="590"/>
      <c r="O247" s="590"/>
      <c r="P247" s="564">
        <f>SUM(P238:P246)</f>
        <v>2393</v>
      </c>
      <c r="Q247" s="587">
        <f>SUM(Q238:Q246)</f>
        <v>1</v>
      </c>
      <c r="R247" s="565">
        <f>SUM(R238:R246)</f>
        <v>315702</v>
      </c>
      <c r="S247" s="587">
        <f>SUM(S238:S246)</f>
        <v>1</v>
      </c>
      <c r="T247" s="521"/>
      <c r="U247" s="523"/>
      <c r="V247" s="506"/>
    </row>
    <row r="248" spans="1:23" x14ac:dyDescent="0.35">
      <c r="A248" s="407"/>
      <c r="B248" s="423"/>
      <c r="C248" s="423"/>
      <c r="D248" s="423"/>
      <c r="E248" s="423"/>
      <c r="F248" s="423"/>
      <c r="G248" s="423"/>
      <c r="H248" s="468"/>
      <c r="I248" s="468"/>
      <c r="J248" s="468"/>
      <c r="K248" s="468"/>
      <c r="L248" s="468"/>
      <c r="M248" s="468"/>
      <c r="N248" s="468"/>
      <c r="O248" s="468"/>
      <c r="P248" s="435"/>
      <c r="Q248" s="469"/>
      <c r="R248" s="470"/>
      <c r="S248" s="469"/>
      <c r="T248" s="423"/>
      <c r="U248" s="423"/>
      <c r="V248" s="405"/>
    </row>
    <row r="249" spans="1:23" x14ac:dyDescent="0.35">
      <c r="A249" s="599"/>
      <c r="B249" s="610" t="s">
        <v>171</v>
      </c>
      <c r="C249" s="611"/>
      <c r="D249" s="611"/>
      <c r="E249" s="611"/>
      <c r="F249" s="627"/>
      <c r="G249" s="611"/>
      <c r="H249" s="611"/>
      <c r="I249" s="611"/>
      <c r="J249" s="611"/>
      <c r="K249" s="611"/>
      <c r="L249" s="611"/>
      <c r="M249" s="611"/>
      <c r="N249" s="611"/>
      <c r="O249" s="611"/>
      <c r="P249" s="627" t="s">
        <v>106</v>
      </c>
      <c r="Q249" s="611" t="s">
        <v>107</v>
      </c>
      <c r="R249" s="627" t="s">
        <v>115</v>
      </c>
      <c r="S249" s="611" t="s">
        <v>107</v>
      </c>
      <c r="T249" s="628"/>
      <c r="U249" s="631"/>
      <c r="V249" s="405"/>
    </row>
    <row r="250" spans="1:23" s="507" customFormat="1" x14ac:dyDescent="0.35">
      <c r="A250" s="508"/>
      <c r="B250" s="571" t="s">
        <v>92</v>
      </c>
      <c r="C250" s="629"/>
      <c r="D250" s="629"/>
      <c r="E250" s="629"/>
      <c r="F250" s="554"/>
      <c r="G250" s="629"/>
      <c r="H250" s="629"/>
      <c r="I250" s="629"/>
      <c r="J250" s="629"/>
      <c r="K250" s="629"/>
      <c r="L250" s="629"/>
      <c r="M250" s="629"/>
      <c r="N250" s="629"/>
      <c r="O250" s="629"/>
      <c r="P250" s="571">
        <v>2323</v>
      </c>
      <c r="Q250" s="632">
        <f t="shared" ref="Q250:Q257" si="5">P250/$P$259</f>
        <v>0.99231097821443826</v>
      </c>
      <c r="R250" s="594">
        <v>306773</v>
      </c>
      <c r="S250" s="632">
        <f t="shared" ref="S250:S257" si="6">R250/$R$259</f>
        <v>0.99580931235068038</v>
      </c>
      <c r="T250" s="625"/>
      <c r="U250" s="630"/>
      <c r="V250" s="506"/>
    </row>
    <row r="251" spans="1:23" s="507" customFormat="1" x14ac:dyDescent="0.35">
      <c r="A251" s="520"/>
      <c r="B251" s="564" t="s">
        <v>93</v>
      </c>
      <c r="C251" s="588"/>
      <c r="D251" s="588"/>
      <c r="E251" s="588"/>
      <c r="F251" s="521"/>
      <c r="G251" s="587"/>
      <c r="H251" s="588"/>
      <c r="I251" s="588"/>
      <c r="J251" s="588"/>
      <c r="K251" s="588"/>
      <c r="L251" s="588"/>
      <c r="M251" s="588"/>
      <c r="N251" s="588"/>
      <c r="O251" s="588"/>
      <c r="P251" s="564">
        <v>1</v>
      </c>
      <c r="Q251" s="587">
        <f t="shared" si="5"/>
        <v>4.2716787697565144E-4</v>
      </c>
      <c r="R251" s="565">
        <v>150</v>
      </c>
      <c r="S251" s="587">
        <f t="shared" si="6"/>
        <v>4.869118105328763E-4</v>
      </c>
      <c r="T251" s="581"/>
      <c r="U251" s="584"/>
      <c r="V251" s="506"/>
      <c r="W251" s="570"/>
    </row>
    <row r="252" spans="1:23" s="507" customFormat="1" x14ac:dyDescent="0.35">
      <c r="A252" s="520"/>
      <c r="B252" s="564" t="s">
        <v>94</v>
      </c>
      <c r="C252" s="588"/>
      <c r="D252" s="588"/>
      <c r="E252" s="588"/>
      <c r="F252" s="521"/>
      <c r="G252" s="587"/>
      <c r="H252" s="588"/>
      <c r="I252" s="588"/>
      <c r="J252" s="588"/>
      <c r="K252" s="588"/>
      <c r="L252" s="588"/>
      <c r="M252" s="588"/>
      <c r="N252" s="588"/>
      <c r="O252" s="588"/>
      <c r="P252" s="564">
        <v>15</v>
      </c>
      <c r="Q252" s="587">
        <f t="shared" si="5"/>
        <v>6.4075181546347712E-3</v>
      </c>
      <c r="R252" s="565">
        <v>949</v>
      </c>
      <c r="S252" s="587">
        <f t="shared" si="6"/>
        <v>3.0805287213046639E-3</v>
      </c>
      <c r="T252" s="581"/>
      <c r="U252" s="584"/>
      <c r="V252" s="506"/>
    </row>
    <row r="253" spans="1:23" s="507" customFormat="1" x14ac:dyDescent="0.35">
      <c r="A253" s="520"/>
      <c r="B253" s="564" t="s">
        <v>164</v>
      </c>
      <c r="C253" s="588"/>
      <c r="D253" s="588"/>
      <c r="E253" s="588"/>
      <c r="F253" s="521"/>
      <c r="G253" s="587"/>
      <c r="H253" s="588"/>
      <c r="I253" s="588"/>
      <c r="J253" s="588"/>
      <c r="K253" s="588"/>
      <c r="L253" s="588"/>
      <c r="M253" s="588"/>
      <c r="N253" s="588"/>
      <c r="O253" s="588"/>
      <c r="P253" s="564">
        <v>1</v>
      </c>
      <c r="Q253" s="587">
        <f t="shared" si="5"/>
        <v>4.2716787697565144E-4</v>
      </c>
      <c r="R253" s="565">
        <v>64</v>
      </c>
      <c r="S253" s="587">
        <f t="shared" si="6"/>
        <v>2.0774903916069389E-4</v>
      </c>
      <c r="T253" s="581"/>
      <c r="U253" s="584"/>
      <c r="V253" s="506"/>
      <c r="W253" s="570"/>
    </row>
    <row r="254" spans="1:23" s="507" customFormat="1" x14ac:dyDescent="0.35">
      <c r="A254" s="520"/>
      <c r="B254" s="564" t="s">
        <v>165</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row>
    <row r="255" spans="1:23" s="507" customFormat="1" x14ac:dyDescent="0.35">
      <c r="A255" s="520"/>
      <c r="B255" s="564" t="s">
        <v>166</v>
      </c>
      <c r="C255" s="588"/>
      <c r="D255" s="588"/>
      <c r="E255" s="588"/>
      <c r="F255" s="521"/>
      <c r="G255" s="587"/>
      <c r="H255" s="588"/>
      <c r="I255" s="588"/>
      <c r="J255" s="588"/>
      <c r="K255" s="588"/>
      <c r="L255" s="588"/>
      <c r="M255" s="588"/>
      <c r="N255" s="588"/>
      <c r="O255" s="588"/>
      <c r="P255" s="564">
        <v>1</v>
      </c>
      <c r="Q255" s="587">
        <f t="shared" si="5"/>
        <v>4.2716787697565144E-4</v>
      </c>
      <c r="R255" s="565">
        <v>128</v>
      </c>
      <c r="S255" s="587">
        <f t="shared" si="6"/>
        <v>4.1549807832138777E-4</v>
      </c>
      <c r="T255" s="581"/>
      <c r="U255" s="584"/>
      <c r="V255" s="506"/>
      <c r="W255" s="570"/>
    </row>
    <row r="256" spans="1:23" s="507" customFormat="1" x14ac:dyDescent="0.35">
      <c r="A256" s="520"/>
      <c r="B256" s="564" t="s">
        <v>167</v>
      </c>
      <c r="C256" s="588"/>
      <c r="D256" s="588"/>
      <c r="E256" s="588"/>
      <c r="F256" s="521"/>
      <c r="G256" s="587"/>
      <c r="H256" s="588"/>
      <c r="I256" s="588"/>
      <c r="J256" s="588"/>
      <c r="K256" s="588"/>
      <c r="L256" s="588"/>
      <c r="M256" s="588"/>
      <c r="N256" s="588"/>
      <c r="O256" s="588"/>
      <c r="P256" s="564">
        <v>0</v>
      </c>
      <c r="Q256" s="587">
        <f t="shared" si="5"/>
        <v>0</v>
      </c>
      <c r="R256" s="565">
        <v>0</v>
      </c>
      <c r="S256" s="587">
        <f t="shared" si="6"/>
        <v>0</v>
      </c>
      <c r="T256" s="581"/>
      <c r="U256" s="584"/>
      <c r="V256" s="506"/>
    </row>
    <row r="257" spans="1:23" s="507" customFormat="1" x14ac:dyDescent="0.35">
      <c r="A257" s="520"/>
      <c r="B257" s="564" t="s">
        <v>168</v>
      </c>
      <c r="C257" s="588"/>
      <c r="D257" s="588"/>
      <c r="E257" s="588"/>
      <c r="F257" s="521"/>
      <c r="G257" s="587"/>
      <c r="H257" s="588"/>
      <c r="I257" s="588"/>
      <c r="J257" s="588"/>
      <c r="K257" s="588"/>
      <c r="L257" s="588"/>
      <c r="M257" s="588"/>
      <c r="N257" s="588"/>
      <c r="O257" s="588"/>
      <c r="P257" s="564">
        <v>0</v>
      </c>
      <c r="Q257" s="587">
        <f t="shared" si="5"/>
        <v>0</v>
      </c>
      <c r="R257" s="565">
        <v>0</v>
      </c>
      <c r="S257" s="587">
        <f t="shared" si="6"/>
        <v>0</v>
      </c>
      <c r="T257" s="581"/>
      <c r="U257" s="584"/>
      <c r="V257" s="506"/>
      <c r="W257" s="570"/>
    </row>
    <row r="258" spans="1:23" s="507" customFormat="1" x14ac:dyDescent="0.35">
      <c r="A258" s="520"/>
      <c r="B258" s="564"/>
      <c r="C258" s="588"/>
      <c r="D258" s="588"/>
      <c r="E258" s="588"/>
      <c r="F258" s="521"/>
      <c r="G258" s="587"/>
      <c r="H258" s="588"/>
      <c r="I258" s="588"/>
      <c r="J258" s="588"/>
      <c r="K258" s="588"/>
      <c r="L258" s="588"/>
      <c r="M258" s="588"/>
      <c r="N258" s="588"/>
      <c r="O258" s="588"/>
      <c r="P258" s="564"/>
      <c r="Q258" s="587"/>
      <c r="R258" s="565"/>
      <c r="S258" s="587"/>
      <c r="T258" s="581"/>
      <c r="U258" s="584"/>
      <c r="V258" s="506"/>
    </row>
    <row r="259" spans="1:23" s="507" customFormat="1" x14ac:dyDescent="0.35">
      <c r="A259" s="520"/>
      <c r="B259" s="521"/>
      <c r="C259" s="521"/>
      <c r="D259" s="521"/>
      <c r="E259" s="521"/>
      <c r="F259" s="521"/>
      <c r="G259" s="521"/>
      <c r="H259" s="590"/>
      <c r="I259" s="590"/>
      <c r="J259" s="590"/>
      <c r="K259" s="590"/>
      <c r="L259" s="590"/>
      <c r="M259" s="590"/>
      <c r="N259" s="590"/>
      <c r="O259" s="590"/>
      <c r="P259" s="564">
        <f>SUM(P250:P258)</f>
        <v>2341</v>
      </c>
      <c r="Q259" s="587">
        <f>SUM(Q250:Q258)</f>
        <v>0.99999999999999989</v>
      </c>
      <c r="R259" s="565">
        <f>SUM(R250:R258)</f>
        <v>308064</v>
      </c>
      <c r="S259" s="587">
        <f>SUM(S250:S258)</f>
        <v>1</v>
      </c>
      <c r="T259" s="521"/>
      <c r="U259" s="523"/>
      <c r="V259" s="506"/>
    </row>
    <row r="260" spans="1:23" x14ac:dyDescent="0.35">
      <c r="A260" s="407"/>
      <c r="B260" s="423"/>
      <c r="C260" s="423"/>
      <c r="D260" s="423"/>
      <c r="E260" s="423"/>
      <c r="F260" s="423"/>
      <c r="G260" s="423"/>
      <c r="H260" s="468"/>
      <c r="I260" s="468"/>
      <c r="J260" s="468"/>
      <c r="K260" s="468"/>
      <c r="L260" s="468"/>
      <c r="M260" s="468"/>
      <c r="N260" s="468"/>
      <c r="O260" s="468"/>
      <c r="P260" s="435"/>
      <c r="Q260" s="469"/>
      <c r="R260" s="470"/>
      <c r="S260" s="469"/>
      <c r="T260" s="423"/>
      <c r="U260" s="423"/>
      <c r="V260" s="405"/>
    </row>
    <row r="261" spans="1:23" x14ac:dyDescent="0.35">
      <c r="A261" s="599"/>
      <c r="B261" s="610" t="s">
        <v>275</v>
      </c>
      <c r="C261" s="611"/>
      <c r="D261" s="611"/>
      <c r="E261" s="611"/>
      <c r="F261" s="627"/>
      <c r="G261" s="611"/>
      <c r="H261" s="611"/>
      <c r="I261" s="611"/>
      <c r="J261" s="611"/>
      <c r="K261" s="611"/>
      <c r="L261" s="611"/>
      <c r="M261" s="611"/>
      <c r="N261" s="611"/>
      <c r="O261" s="611"/>
      <c r="P261" s="627" t="s">
        <v>106</v>
      </c>
      <c r="Q261" s="611" t="s">
        <v>107</v>
      </c>
      <c r="R261" s="627" t="s">
        <v>115</v>
      </c>
      <c r="S261" s="611" t="s">
        <v>107</v>
      </c>
      <c r="T261" s="628"/>
      <c r="U261" s="614"/>
      <c r="V261" s="405"/>
    </row>
    <row r="262" spans="1:23" s="507" customFormat="1" x14ac:dyDescent="0.35">
      <c r="A262" s="508"/>
      <c r="B262" s="571" t="s">
        <v>92</v>
      </c>
      <c r="C262" s="629"/>
      <c r="D262" s="629"/>
      <c r="E262" s="629"/>
      <c r="F262" s="554"/>
      <c r="G262" s="629"/>
      <c r="H262" s="629"/>
      <c r="I262" s="629"/>
      <c r="J262" s="629"/>
      <c r="K262" s="629"/>
      <c r="L262" s="629"/>
      <c r="M262" s="629"/>
      <c r="N262" s="629"/>
      <c r="O262" s="629"/>
      <c r="P262" s="571">
        <v>47</v>
      </c>
      <c r="Q262" s="632">
        <f t="shared" ref="Q262:Q269" si="7">P262/$P$271</f>
        <v>0.90384615384615385</v>
      </c>
      <c r="R262" s="594">
        <v>6969</v>
      </c>
      <c r="S262" s="632">
        <f t="shared" ref="S262:S269" si="8">R262/$R$271</f>
        <v>0.91241162608012571</v>
      </c>
      <c r="T262" s="554"/>
      <c r="U262" s="554"/>
      <c r="V262" s="506"/>
    </row>
    <row r="263" spans="1:23" s="507" customFormat="1" x14ac:dyDescent="0.35">
      <c r="A263" s="520"/>
      <c r="B263" s="564" t="s">
        <v>93</v>
      </c>
      <c r="C263" s="588"/>
      <c r="D263" s="588"/>
      <c r="E263" s="588"/>
      <c r="F263" s="521"/>
      <c r="G263" s="587"/>
      <c r="H263" s="588"/>
      <c r="I263" s="588"/>
      <c r="J263" s="588"/>
      <c r="K263" s="588"/>
      <c r="L263" s="588"/>
      <c r="M263" s="588"/>
      <c r="N263" s="588"/>
      <c r="O263" s="588"/>
      <c r="P263" s="564">
        <v>5</v>
      </c>
      <c r="Q263" s="587">
        <f t="shared" si="7"/>
        <v>9.6153846153846159E-2</v>
      </c>
      <c r="R263" s="565">
        <v>669</v>
      </c>
      <c r="S263" s="587">
        <f t="shared" si="8"/>
        <v>8.7588373919874313E-2</v>
      </c>
      <c r="T263" s="521"/>
      <c r="U263" s="523"/>
      <c r="V263" s="506"/>
    </row>
    <row r="264" spans="1:23" s="507" customFormat="1" x14ac:dyDescent="0.35">
      <c r="A264" s="520"/>
      <c r="B264" s="564" t="s">
        <v>94</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3" s="507" customFormat="1" x14ac:dyDescent="0.35">
      <c r="A265" s="520"/>
      <c r="B265" s="564" t="s">
        <v>164</v>
      </c>
      <c r="C265" s="588"/>
      <c r="D265" s="588"/>
      <c r="E265" s="588"/>
      <c r="F265" s="521"/>
      <c r="G265" s="587"/>
      <c r="H265" s="588"/>
      <c r="I265" s="588"/>
      <c r="J265" s="588"/>
      <c r="K265" s="588"/>
      <c r="L265" s="588"/>
      <c r="M265" s="588"/>
      <c r="N265" s="588"/>
      <c r="O265" s="588"/>
      <c r="P265" s="564">
        <v>0</v>
      </c>
      <c r="Q265" s="587">
        <f t="shared" si="7"/>
        <v>0</v>
      </c>
      <c r="R265" s="565">
        <v>0</v>
      </c>
      <c r="S265" s="587">
        <f t="shared" si="8"/>
        <v>0</v>
      </c>
      <c r="T265" s="521"/>
      <c r="U265" s="523"/>
      <c r="V265" s="506"/>
    </row>
    <row r="266" spans="1:23" s="507" customFormat="1" x14ac:dyDescent="0.35">
      <c r="A266" s="520"/>
      <c r="B266" s="564" t="s">
        <v>165</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3" s="507" customFormat="1" x14ac:dyDescent="0.35">
      <c r="A267" s="520"/>
      <c r="B267" s="564" t="s">
        <v>166</v>
      </c>
      <c r="C267" s="588"/>
      <c r="D267" s="588"/>
      <c r="E267" s="588"/>
      <c r="F267" s="521"/>
      <c r="G267" s="587"/>
      <c r="H267" s="588"/>
      <c r="I267" s="588"/>
      <c r="J267" s="588"/>
      <c r="K267" s="588"/>
      <c r="L267" s="588"/>
      <c r="M267" s="588"/>
      <c r="N267" s="588"/>
      <c r="O267" s="588"/>
      <c r="P267" s="564">
        <v>0</v>
      </c>
      <c r="Q267" s="587">
        <f t="shared" si="7"/>
        <v>0</v>
      </c>
      <c r="R267" s="565">
        <v>0</v>
      </c>
      <c r="S267" s="587">
        <f t="shared" si="8"/>
        <v>0</v>
      </c>
      <c r="T267" s="521"/>
      <c r="U267" s="523"/>
      <c r="V267" s="506"/>
    </row>
    <row r="268" spans="1:23" s="507" customFormat="1" x14ac:dyDescent="0.35">
      <c r="A268" s="520"/>
      <c r="B268" s="564" t="s">
        <v>167</v>
      </c>
      <c r="C268" s="588"/>
      <c r="D268" s="588"/>
      <c r="E268" s="588"/>
      <c r="F268" s="521"/>
      <c r="G268" s="587"/>
      <c r="H268" s="588"/>
      <c r="I268" s="588"/>
      <c r="J268" s="588"/>
      <c r="K268" s="588"/>
      <c r="L268" s="588"/>
      <c r="M268" s="588"/>
      <c r="N268" s="588"/>
      <c r="O268" s="588"/>
      <c r="P268" s="564">
        <v>0</v>
      </c>
      <c r="Q268" s="587">
        <f t="shared" si="7"/>
        <v>0</v>
      </c>
      <c r="R268" s="565">
        <v>0</v>
      </c>
      <c r="S268" s="587">
        <f t="shared" si="8"/>
        <v>0</v>
      </c>
      <c r="T268" s="521"/>
      <c r="U268" s="523"/>
      <c r="V268" s="506"/>
    </row>
    <row r="269" spans="1:23" s="507" customFormat="1" x14ac:dyDescent="0.35">
      <c r="A269" s="520"/>
      <c r="B269" s="564" t="s">
        <v>168</v>
      </c>
      <c r="C269" s="588"/>
      <c r="D269" s="588"/>
      <c r="E269" s="588"/>
      <c r="F269" s="521"/>
      <c r="G269" s="587"/>
      <c r="H269" s="588"/>
      <c r="I269" s="588"/>
      <c r="J269" s="588"/>
      <c r="K269" s="588"/>
      <c r="L269" s="588"/>
      <c r="M269" s="588"/>
      <c r="N269" s="588"/>
      <c r="O269" s="588"/>
      <c r="P269" s="564">
        <v>0</v>
      </c>
      <c r="Q269" s="587">
        <f t="shared" si="7"/>
        <v>0</v>
      </c>
      <c r="R269" s="565">
        <v>0</v>
      </c>
      <c r="S269" s="587">
        <f t="shared" si="8"/>
        <v>0</v>
      </c>
      <c r="T269" s="521"/>
      <c r="U269" s="523"/>
      <c r="V269" s="506"/>
    </row>
    <row r="270" spans="1:23" s="507" customFormat="1" x14ac:dyDescent="0.35">
      <c r="A270" s="520"/>
      <c r="B270" s="564"/>
      <c r="C270" s="588"/>
      <c r="D270" s="588"/>
      <c r="E270" s="588"/>
      <c r="F270" s="521"/>
      <c r="G270" s="587"/>
      <c r="H270" s="588"/>
      <c r="I270" s="588"/>
      <c r="J270" s="588"/>
      <c r="K270" s="588"/>
      <c r="L270" s="588"/>
      <c r="M270" s="588"/>
      <c r="N270" s="588"/>
      <c r="O270" s="588"/>
      <c r="P270" s="564"/>
      <c r="Q270" s="587"/>
      <c r="R270" s="565"/>
      <c r="S270" s="587"/>
      <c r="T270" s="521"/>
      <c r="U270" s="523"/>
      <c r="V270" s="506"/>
    </row>
    <row r="271" spans="1:23" s="507" customFormat="1" x14ac:dyDescent="0.35">
      <c r="A271" s="520"/>
      <c r="B271" s="521"/>
      <c r="C271" s="521"/>
      <c r="D271" s="521"/>
      <c r="E271" s="521"/>
      <c r="F271" s="521"/>
      <c r="G271" s="521"/>
      <c r="H271" s="590"/>
      <c r="I271" s="590"/>
      <c r="J271" s="590"/>
      <c r="K271" s="590"/>
      <c r="L271" s="590"/>
      <c r="M271" s="590"/>
      <c r="N271" s="590"/>
      <c r="O271" s="590"/>
      <c r="P271" s="564">
        <f>SUM(P262:P270)</f>
        <v>52</v>
      </c>
      <c r="Q271" s="587">
        <f>SUM(Q262:Q270)</f>
        <v>1</v>
      </c>
      <c r="R271" s="565">
        <f>SUM(R262:R270)</f>
        <v>7638</v>
      </c>
      <c r="S271" s="587">
        <f>SUM(S262:S270)</f>
        <v>1</v>
      </c>
      <c r="T271" s="521"/>
      <c r="U271" s="523"/>
      <c r="V271" s="506"/>
    </row>
    <row r="272" spans="1:23" x14ac:dyDescent="0.35">
      <c r="A272" s="407"/>
      <c r="B272" s="423"/>
      <c r="C272" s="423"/>
      <c r="D272" s="423"/>
      <c r="E272" s="423"/>
      <c r="F272" s="423"/>
      <c r="G272" s="423"/>
      <c r="H272" s="468"/>
      <c r="I272" s="468"/>
      <c r="J272" s="468"/>
      <c r="K272" s="468"/>
      <c r="L272" s="468"/>
      <c r="M272" s="468"/>
      <c r="N272" s="468"/>
      <c r="O272" s="468"/>
      <c r="P272" s="435"/>
      <c r="Q272" s="469"/>
      <c r="R272" s="470"/>
      <c r="S272" s="469"/>
      <c r="T272" s="423"/>
      <c r="U272" s="423"/>
      <c r="V272" s="405"/>
    </row>
    <row r="273" spans="1:22" x14ac:dyDescent="0.35">
      <c r="A273" s="599"/>
      <c r="B273" s="610" t="s">
        <v>173</v>
      </c>
      <c r="C273" s="628"/>
      <c r="D273" s="628"/>
      <c r="E273" s="628"/>
      <c r="F273" s="628"/>
      <c r="G273" s="628"/>
      <c r="H273" s="633"/>
      <c r="I273" s="633"/>
      <c r="J273" s="633"/>
      <c r="K273" s="633"/>
      <c r="L273" s="633"/>
      <c r="M273" s="633"/>
      <c r="N273" s="633"/>
      <c r="O273" s="633"/>
      <c r="P273" s="627" t="s">
        <v>106</v>
      </c>
      <c r="Q273" s="611" t="s">
        <v>107</v>
      </c>
      <c r="R273" s="627" t="s">
        <v>115</v>
      </c>
      <c r="S273" s="611" t="s">
        <v>107</v>
      </c>
      <c r="T273" s="628"/>
      <c r="U273" s="614"/>
      <c r="V273" s="405"/>
    </row>
    <row r="274" spans="1:22" s="507" customFormat="1" x14ac:dyDescent="0.35">
      <c r="A274" s="508"/>
      <c r="B274" s="571" t="s">
        <v>92</v>
      </c>
      <c r="C274" s="554"/>
      <c r="D274" s="554"/>
      <c r="E274" s="554"/>
      <c r="F274" s="554"/>
      <c r="G274" s="554"/>
      <c r="H274" s="593"/>
      <c r="I274" s="593"/>
      <c r="J274" s="593"/>
      <c r="K274" s="593"/>
      <c r="L274" s="593"/>
      <c r="M274" s="593"/>
      <c r="N274" s="593"/>
      <c r="O274" s="593"/>
      <c r="P274" s="571">
        <v>0</v>
      </c>
      <c r="Q274" s="632">
        <v>0</v>
      </c>
      <c r="R274" s="594">
        <v>0</v>
      </c>
      <c r="S274" s="632">
        <v>0</v>
      </c>
      <c r="T274" s="554"/>
      <c r="U274" s="554"/>
      <c r="V274" s="506"/>
    </row>
    <row r="275" spans="1:22" s="507" customFormat="1" x14ac:dyDescent="0.35">
      <c r="A275" s="520"/>
      <c r="B275" s="564" t="s">
        <v>93</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94</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164</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165</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t="s">
        <v>166</v>
      </c>
      <c r="C279" s="521"/>
      <c r="D279" s="521"/>
      <c r="E279" s="521"/>
      <c r="F279" s="521"/>
      <c r="G279" s="521"/>
      <c r="H279" s="590"/>
      <c r="I279" s="590"/>
      <c r="J279" s="590"/>
      <c r="K279" s="590"/>
      <c r="L279" s="590"/>
      <c r="M279" s="590"/>
      <c r="N279" s="590"/>
      <c r="O279" s="590"/>
      <c r="P279" s="564">
        <v>0</v>
      </c>
      <c r="Q279" s="587">
        <v>0</v>
      </c>
      <c r="R279" s="565">
        <v>0</v>
      </c>
      <c r="S279" s="587">
        <v>0</v>
      </c>
      <c r="T279" s="521"/>
      <c r="U279" s="523"/>
      <c r="V279" s="506"/>
    </row>
    <row r="280" spans="1:22" s="507" customFormat="1" x14ac:dyDescent="0.35">
      <c r="A280" s="520"/>
      <c r="B280" s="564" t="s">
        <v>167</v>
      </c>
      <c r="C280" s="521"/>
      <c r="D280" s="521"/>
      <c r="E280" s="521"/>
      <c r="F280" s="521"/>
      <c r="G280" s="521"/>
      <c r="H280" s="590"/>
      <c r="I280" s="590"/>
      <c r="J280" s="590"/>
      <c r="K280" s="590"/>
      <c r="L280" s="590"/>
      <c r="M280" s="590"/>
      <c r="N280" s="590"/>
      <c r="O280" s="590"/>
      <c r="P280" s="564">
        <v>0</v>
      </c>
      <c r="Q280" s="587">
        <v>0</v>
      </c>
      <c r="R280" s="565">
        <v>0</v>
      </c>
      <c r="S280" s="587">
        <v>0</v>
      </c>
      <c r="T280" s="521"/>
      <c r="U280" s="523"/>
      <c r="V280" s="506"/>
    </row>
    <row r="281" spans="1:22" s="507" customFormat="1" x14ac:dyDescent="0.35">
      <c r="A281" s="520"/>
      <c r="B281" s="564" t="s">
        <v>168</v>
      </c>
      <c r="C281" s="521"/>
      <c r="D281" s="521"/>
      <c r="E281" s="521"/>
      <c r="F281" s="521"/>
      <c r="G281" s="521"/>
      <c r="H281" s="590"/>
      <c r="I281" s="590"/>
      <c r="J281" s="590"/>
      <c r="K281" s="590"/>
      <c r="L281" s="590"/>
      <c r="M281" s="590"/>
      <c r="N281" s="590"/>
      <c r="O281" s="590"/>
      <c r="P281" s="564">
        <v>0</v>
      </c>
      <c r="Q281" s="587">
        <v>0</v>
      </c>
      <c r="R281" s="565">
        <v>0</v>
      </c>
      <c r="S281" s="587">
        <v>0</v>
      </c>
      <c r="T281" s="521"/>
      <c r="U281" s="523"/>
      <c r="V281" s="506"/>
    </row>
    <row r="282" spans="1:22" s="507" customFormat="1" x14ac:dyDescent="0.35">
      <c r="A282" s="520"/>
      <c r="B282" s="564"/>
      <c r="C282" s="521"/>
      <c r="D282" s="521"/>
      <c r="E282" s="521"/>
      <c r="F282" s="521"/>
      <c r="G282" s="521"/>
      <c r="H282" s="590"/>
      <c r="I282" s="590"/>
      <c r="J282" s="590"/>
      <c r="K282" s="590"/>
      <c r="L282" s="590"/>
      <c r="M282" s="590"/>
      <c r="N282" s="590"/>
      <c r="O282" s="590"/>
      <c r="P282" s="564"/>
      <c r="Q282" s="587"/>
      <c r="R282" s="565"/>
      <c r="S282" s="587"/>
      <c r="T282" s="521"/>
      <c r="U282" s="523"/>
      <c r="V282" s="506"/>
    </row>
    <row r="283" spans="1:22" s="507" customFormat="1" x14ac:dyDescent="0.35">
      <c r="A283" s="520"/>
      <c r="B283" s="521" t="s">
        <v>121</v>
      </c>
      <c r="C283" s="521"/>
      <c r="D283" s="521"/>
      <c r="E283" s="521"/>
      <c r="F283" s="521"/>
      <c r="G283" s="521"/>
      <c r="H283" s="590"/>
      <c r="I283" s="590"/>
      <c r="J283" s="590"/>
      <c r="K283" s="590"/>
      <c r="L283" s="590"/>
      <c r="M283" s="590"/>
      <c r="N283" s="590"/>
      <c r="O283" s="590"/>
      <c r="P283" s="564">
        <f>SUM(P274:P281)</f>
        <v>0</v>
      </c>
      <c r="Q283" s="587">
        <f>SUM(Q274:Q281)</f>
        <v>0</v>
      </c>
      <c r="R283" s="565">
        <f>SUM(R274:R281)</f>
        <v>0</v>
      </c>
      <c r="S283" s="587">
        <f>SUM(S274:S281)</f>
        <v>0</v>
      </c>
      <c r="T283" s="521"/>
      <c r="U283" s="523"/>
      <c r="V283" s="506"/>
    </row>
    <row r="284" spans="1:22" s="507" customFormat="1" x14ac:dyDescent="0.35">
      <c r="A284" s="520"/>
      <c r="B284" s="521"/>
      <c r="C284" s="521"/>
      <c r="D284" s="521"/>
      <c r="E284" s="521"/>
      <c r="F284" s="521"/>
      <c r="G284" s="521"/>
      <c r="H284" s="590"/>
      <c r="I284" s="590"/>
      <c r="J284" s="590"/>
      <c r="K284" s="590"/>
      <c r="L284" s="590"/>
      <c r="M284" s="590"/>
      <c r="N284" s="590"/>
      <c r="O284" s="590"/>
      <c r="P284" s="564"/>
      <c r="Q284" s="587"/>
      <c r="R284" s="565"/>
      <c r="S284" s="587"/>
      <c r="T284" s="521"/>
      <c r="U284" s="523"/>
      <c r="V284" s="506"/>
    </row>
    <row r="285" spans="1:22" s="507" customFormat="1" x14ac:dyDescent="0.35">
      <c r="A285" s="520"/>
      <c r="B285" s="526" t="s">
        <v>174</v>
      </c>
      <c r="C285" s="521"/>
      <c r="D285" s="521"/>
      <c r="E285" s="521"/>
      <c r="F285" s="521"/>
      <c r="G285" s="521"/>
      <c r="H285" s="590"/>
      <c r="I285" s="590"/>
      <c r="J285" s="590"/>
      <c r="K285" s="590"/>
      <c r="L285" s="590"/>
      <c r="M285" s="590"/>
      <c r="N285" s="590"/>
      <c r="O285" s="590"/>
      <c r="P285" s="591">
        <f>P283+P271+P259</f>
        <v>2393</v>
      </c>
      <c r="Q285" s="587"/>
      <c r="R285" s="592">
        <f>+R283+R271+R259</f>
        <v>315702</v>
      </c>
      <c r="S285" s="587"/>
      <c r="T285" s="521"/>
      <c r="U285" s="523"/>
      <c r="V285" s="506"/>
    </row>
    <row r="286" spans="1:22" s="507" customFormat="1" x14ac:dyDescent="0.35">
      <c r="A286" s="508"/>
      <c r="B286" s="554"/>
      <c r="C286" s="554"/>
      <c r="D286" s="554"/>
      <c r="E286" s="554"/>
      <c r="F286" s="554"/>
      <c r="G286" s="554"/>
      <c r="H286" s="593"/>
      <c r="I286" s="593"/>
      <c r="J286" s="593"/>
      <c r="K286" s="593"/>
      <c r="L286" s="593"/>
      <c r="M286" s="593"/>
      <c r="N286" s="593"/>
      <c r="O286" s="593"/>
      <c r="P286" s="593"/>
      <c r="Q286" s="593"/>
      <c r="R286" s="594"/>
      <c r="S286" s="593"/>
      <c r="T286" s="554"/>
      <c r="U286" s="554"/>
      <c r="V286" s="506"/>
    </row>
    <row r="287" spans="1:22" s="507" customFormat="1" x14ac:dyDescent="0.35">
      <c r="A287" s="508"/>
      <c r="B287" s="509"/>
      <c r="C287" s="509"/>
      <c r="D287" s="509"/>
      <c r="E287" s="509"/>
      <c r="F287" s="509"/>
      <c r="G287" s="509"/>
      <c r="H287" s="595"/>
      <c r="I287" s="595"/>
      <c r="J287" s="595"/>
      <c r="K287" s="595"/>
      <c r="L287" s="595"/>
      <c r="M287" s="595"/>
      <c r="N287" s="595"/>
      <c r="O287" s="595"/>
      <c r="P287" s="595"/>
      <c r="Q287" s="595"/>
      <c r="R287" s="596"/>
      <c r="S287" s="595"/>
      <c r="T287" s="509"/>
      <c r="U287" s="509"/>
      <c r="V287" s="506"/>
    </row>
    <row r="288" spans="1:22" s="507" customFormat="1" x14ac:dyDescent="0.35">
      <c r="A288" s="508"/>
      <c r="B288" s="503" t="s">
        <v>95</v>
      </c>
      <c r="C288" s="509"/>
      <c r="D288" s="509"/>
      <c r="E288" s="509"/>
      <c r="F288" s="514" t="s">
        <v>101</v>
      </c>
      <c r="G288" s="509"/>
      <c r="H288" s="503" t="s">
        <v>103</v>
      </c>
      <c r="I288" s="509"/>
      <c r="J288" s="509"/>
      <c r="K288" s="509"/>
      <c r="L288" s="509"/>
      <c r="M288" s="509"/>
      <c r="N288" s="509"/>
      <c r="O288" s="509"/>
      <c r="P288" s="509"/>
      <c r="Q288" s="509"/>
      <c r="R288" s="509"/>
      <c r="S288" s="509"/>
      <c r="T288" s="509"/>
      <c r="U288" s="509"/>
      <c r="V288" s="506"/>
    </row>
    <row r="289" spans="1:22" s="507" customFormat="1" x14ac:dyDescent="0.35">
      <c r="A289" s="508"/>
      <c r="B289" s="503" t="s">
        <v>330</v>
      </c>
      <c r="C289" s="503"/>
      <c r="D289" s="503"/>
      <c r="E289" s="503"/>
      <c r="F289" s="597" t="s">
        <v>278</v>
      </c>
      <c r="G289" s="503"/>
      <c r="H289" s="476" t="s">
        <v>362</v>
      </c>
      <c r="I289" s="509"/>
      <c r="J289" s="509"/>
      <c r="K289" s="509"/>
      <c r="L289" s="509"/>
      <c r="M289" s="509"/>
      <c r="N289" s="509"/>
      <c r="O289" s="509"/>
      <c r="P289" s="509"/>
      <c r="Q289" s="509"/>
      <c r="R289" s="509"/>
      <c r="S289" s="509"/>
      <c r="T289" s="509"/>
      <c r="U289" s="509"/>
      <c r="V289" s="506"/>
    </row>
    <row r="290" spans="1:22" s="507" customFormat="1" x14ac:dyDescent="0.35">
      <c r="A290" s="508"/>
      <c r="B290" s="503" t="s">
        <v>331</v>
      </c>
      <c r="C290" s="503"/>
      <c r="D290" s="503"/>
      <c r="E290" s="503"/>
      <c r="F290" s="597" t="s">
        <v>154</v>
      </c>
      <c r="G290" s="503"/>
      <c r="H290" s="476" t="s">
        <v>363</v>
      </c>
      <c r="I290" s="509"/>
      <c r="J290" s="509"/>
      <c r="K290" s="509"/>
      <c r="L290" s="509"/>
      <c r="M290" s="509"/>
      <c r="N290" s="509"/>
      <c r="O290" s="509"/>
      <c r="P290" s="509"/>
      <c r="Q290" s="509"/>
      <c r="R290" s="509"/>
      <c r="S290" s="509"/>
      <c r="T290" s="509"/>
      <c r="U290" s="509"/>
      <c r="V290" s="506"/>
    </row>
    <row r="291" spans="1:22" s="507" customFormat="1" x14ac:dyDescent="0.35">
      <c r="A291" s="508"/>
      <c r="B291" s="503"/>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358</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s="507" customFormat="1" x14ac:dyDescent="0.35">
      <c r="A293" s="508"/>
      <c r="B293" s="554" t="s">
        <v>364</v>
      </c>
      <c r="C293" s="503"/>
      <c r="D293" s="503"/>
      <c r="E293" s="503"/>
      <c r="F293" s="597"/>
      <c r="G293" s="503"/>
      <c r="H293" s="503"/>
      <c r="I293" s="509"/>
      <c r="J293" s="509"/>
      <c r="K293" s="509"/>
      <c r="L293" s="509"/>
      <c r="M293" s="509"/>
      <c r="N293" s="509"/>
      <c r="O293" s="509"/>
      <c r="P293" s="509"/>
      <c r="Q293" s="509"/>
      <c r="R293" s="509"/>
      <c r="S293" s="509"/>
      <c r="T293" s="509"/>
      <c r="U293" s="509"/>
      <c r="V293" s="506"/>
    </row>
    <row r="294" spans="1:22" s="507" customFormat="1" x14ac:dyDescent="0.35">
      <c r="A294" s="508"/>
      <c r="B294" s="554" t="s">
        <v>357</v>
      </c>
      <c r="C294" s="503"/>
      <c r="D294" s="503"/>
      <c r="E294" s="503"/>
      <c r="F294" s="597"/>
      <c r="G294" s="503"/>
      <c r="H294" s="503"/>
      <c r="I294" s="509"/>
      <c r="J294" s="509"/>
      <c r="K294" s="509"/>
      <c r="L294" s="509"/>
      <c r="M294" s="509"/>
      <c r="N294" s="509"/>
      <c r="O294" s="509"/>
      <c r="P294" s="509"/>
      <c r="Q294" s="509"/>
      <c r="R294" s="509"/>
      <c r="S294" s="509"/>
      <c r="T294" s="509"/>
      <c r="U294" s="509"/>
      <c r="V294" s="506"/>
    </row>
    <row r="295" spans="1:22" s="507" customFormat="1" x14ac:dyDescent="0.35">
      <c r="A295" s="508"/>
      <c r="B295" s="554" t="s">
        <v>356</v>
      </c>
      <c r="C295" s="503"/>
      <c r="D295" s="503"/>
      <c r="E295" s="503"/>
      <c r="F295" s="597"/>
      <c r="G295" s="503"/>
      <c r="H295" s="503"/>
      <c r="I295" s="509"/>
      <c r="J295" s="509"/>
      <c r="K295" s="509"/>
      <c r="L295" s="509"/>
      <c r="M295" s="509"/>
      <c r="N295" s="509"/>
      <c r="O295" s="509"/>
      <c r="P295" s="509"/>
      <c r="Q295" s="509"/>
      <c r="R295" s="509"/>
      <c r="S295" s="509"/>
      <c r="T295" s="509"/>
      <c r="U295" s="509"/>
      <c r="V295" s="506"/>
    </row>
    <row r="296" spans="1:22" x14ac:dyDescent="0.35">
      <c r="A296" s="407"/>
      <c r="B296" s="423"/>
      <c r="C296" s="414"/>
      <c r="D296" s="414"/>
      <c r="E296" s="414"/>
      <c r="F296" s="471"/>
      <c r="G296" s="414"/>
      <c r="H296" s="414"/>
      <c r="I296" s="424"/>
      <c r="J296" s="424"/>
      <c r="K296" s="424"/>
      <c r="L296" s="424"/>
      <c r="M296" s="424"/>
      <c r="N296" s="424"/>
      <c r="O296" s="424"/>
      <c r="P296" s="424"/>
      <c r="Q296" s="424"/>
      <c r="R296" s="424"/>
      <c r="S296" s="424"/>
      <c r="T296" s="424"/>
      <c r="U296" s="424"/>
      <c r="V296" s="405"/>
    </row>
    <row r="297" spans="1:22" ht="18.5" x14ac:dyDescent="0.45">
      <c r="A297" s="407"/>
      <c r="B297" s="477" t="s">
        <v>359</v>
      </c>
      <c r="C297" s="414"/>
      <c r="D297" s="414"/>
      <c r="E297" s="414"/>
      <c r="F297" s="414"/>
      <c r="G297" s="414"/>
      <c r="H297" s="424"/>
      <c r="I297" s="424"/>
      <c r="J297" s="424"/>
      <c r="K297" s="424"/>
      <c r="L297" s="409"/>
      <c r="M297" s="409"/>
      <c r="N297" s="472"/>
      <c r="O297" s="409"/>
      <c r="P297" s="474" t="s">
        <v>361</v>
      </c>
      <c r="Q297" s="424"/>
      <c r="R297" s="424"/>
      <c r="S297" s="424"/>
      <c r="T297" s="424"/>
      <c r="U297" s="424"/>
      <c r="V297" s="405"/>
    </row>
    <row r="298" spans="1:22" x14ac:dyDescent="0.35">
      <c r="A298" s="407"/>
      <c r="B298" s="414"/>
      <c r="C298" s="414"/>
      <c r="D298" s="414"/>
      <c r="E298" s="414"/>
      <c r="F298" s="414"/>
      <c r="G298" s="414"/>
      <c r="H298" s="424"/>
      <c r="I298" s="424"/>
      <c r="J298" s="424"/>
      <c r="K298" s="424"/>
      <c r="L298" s="424"/>
      <c r="M298" s="424"/>
      <c r="N298" s="424"/>
      <c r="O298" s="424"/>
      <c r="P298" s="424"/>
      <c r="Q298" s="424"/>
      <c r="R298" s="424"/>
      <c r="S298" s="424"/>
      <c r="T298" s="424"/>
      <c r="U298" s="424"/>
      <c r="V298" s="405"/>
    </row>
    <row r="299" spans="1:22" ht="19" thickBot="1" x14ac:dyDescent="0.5">
      <c r="A299" s="407"/>
      <c r="B299" s="598" t="str">
        <f>B199</f>
        <v>PM10 INVESTOR REPORT QUARTER ENDING NOVEMBER 2019</v>
      </c>
      <c r="C299" s="414"/>
      <c r="D299" s="414"/>
      <c r="E299" s="414"/>
      <c r="F299" s="414"/>
      <c r="G299" s="414"/>
      <c r="H299" s="424"/>
      <c r="I299" s="424"/>
      <c r="J299" s="424"/>
      <c r="K299" s="424"/>
      <c r="L299" s="424"/>
      <c r="M299" s="424"/>
      <c r="N299" s="424"/>
      <c r="O299" s="424"/>
      <c r="P299" s="424"/>
      <c r="Q299" s="424"/>
      <c r="R299" s="424"/>
      <c r="S299" s="424"/>
      <c r="T299" s="424"/>
      <c r="U299" s="424"/>
      <c r="V299" s="405"/>
    </row>
    <row r="300" spans="1:22" x14ac:dyDescent="0.35">
      <c r="A300" s="473"/>
      <c r="B300" s="473"/>
      <c r="C300" s="473"/>
      <c r="D300" s="473"/>
      <c r="E300" s="473"/>
      <c r="F300" s="473"/>
      <c r="G300" s="473"/>
      <c r="H300" s="473"/>
      <c r="I300" s="473"/>
      <c r="J300" s="473"/>
      <c r="K300" s="473"/>
      <c r="L300" s="473"/>
      <c r="M300" s="473"/>
      <c r="N300" s="473"/>
      <c r="O300" s="473"/>
      <c r="P300" s="473"/>
      <c r="Q300" s="473"/>
      <c r="R300" s="473"/>
      <c r="S300" s="473"/>
      <c r="T300" s="473"/>
      <c r="U300" s="473"/>
    </row>
  </sheetData>
  <hyperlinks>
    <hyperlink ref="J9" r:id="rId1" xr:uid="{9ED085F5-C649-4459-8CCD-6F1CE84BB2A6}"/>
    <hyperlink ref="N235" r:id="rId2" xr:uid="{D9CCA2DD-9B38-496C-86EB-955B362B6D64}"/>
    <hyperlink ref="P297" r:id="rId3" xr:uid="{5DCA70CC-F896-48F1-9FEB-5918F1F25817}"/>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8" max="14" man="1"/>
    <brk id="199" max="14" man="1"/>
  </rowBreak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EC185-5C7C-4ADC-8AC8-98EAE957AF6C}">
  <sheetPr>
    <tabColor rgb="FF2D2926"/>
  </sheetPr>
  <dimension ref="A1:Z300"/>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0.69479999999999997</v>
      </c>
      <c r="R16" s="514" t="s">
        <v>147</v>
      </c>
      <c r="S16" s="513">
        <v>0.30520000000000003</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43906</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175</v>
      </c>
      <c r="K27" s="525"/>
      <c r="L27" s="525" t="s">
        <v>175</v>
      </c>
      <c r="M27" s="525"/>
      <c r="N27" s="525" t="s">
        <v>320</v>
      </c>
      <c r="O27" s="525"/>
      <c r="P27" s="525" t="s">
        <v>320</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380</v>
      </c>
      <c r="O28" s="525"/>
      <c r="P28" s="525" t="s">
        <v>380</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0</v>
      </c>
      <c r="E32" s="528"/>
      <c r="F32" s="529">
        <f>F31*F38</f>
        <v>100225.818</v>
      </c>
      <c r="G32" s="529"/>
      <c r="H32" s="533">
        <f>H31*H38</f>
        <v>211906.01519999999</v>
      </c>
      <c r="I32" s="529"/>
      <c r="J32" s="529">
        <f>J31*J38</f>
        <v>19615.1384</v>
      </c>
      <c r="K32" s="529"/>
      <c r="L32" s="533">
        <f>L31*L38</f>
        <v>12338.554800000002</v>
      </c>
      <c r="M32" s="529"/>
      <c r="N32" s="534">
        <f>N31*N38</f>
        <v>32586.439600000002</v>
      </c>
      <c r="O32" s="529"/>
      <c r="P32" s="533">
        <f>P31*P38</f>
        <v>17400.526000000002</v>
      </c>
      <c r="Q32" s="529"/>
      <c r="R32" s="529"/>
      <c r="S32" s="528"/>
      <c r="T32" s="529"/>
      <c r="U32" s="530"/>
      <c r="V32" s="506"/>
    </row>
    <row r="33" spans="1:26" s="507" customFormat="1" x14ac:dyDescent="0.35">
      <c r="A33" s="520"/>
      <c r="B33" s="526" t="s">
        <v>141</v>
      </c>
      <c r="C33" s="528"/>
      <c r="D33" s="536">
        <f>D34*D37</f>
        <v>0</v>
      </c>
      <c r="E33" s="531"/>
      <c r="F33" s="535">
        <f>F37*F31</f>
        <v>99194.990999999995</v>
      </c>
      <c r="G33" s="535"/>
      <c r="H33" s="537">
        <f>H31*H37</f>
        <v>209726.55239999999</v>
      </c>
      <c r="I33" s="535"/>
      <c r="J33" s="535">
        <f>J31*J37</f>
        <v>19413.3966</v>
      </c>
      <c r="K33" s="535"/>
      <c r="L33" s="537">
        <f>L31*L37</f>
        <v>12211.652699999999</v>
      </c>
      <c r="M33" s="535"/>
      <c r="N33" s="535">
        <f>N31*N37</f>
        <v>32251.287899999999</v>
      </c>
      <c r="O33" s="535"/>
      <c r="P33" s="537">
        <f>P31*P37</f>
        <v>17221.5615</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0</v>
      </c>
      <c r="E35" s="528"/>
      <c r="F35" s="529">
        <f>F34*F38</f>
        <v>100225.818</v>
      </c>
      <c r="G35" s="529"/>
      <c r="H35" s="529">
        <f>H34*H38</f>
        <v>143179.74000000002</v>
      </c>
      <c r="I35" s="529"/>
      <c r="J35" s="529">
        <f>J32</f>
        <v>19615.1384</v>
      </c>
      <c r="K35" s="529"/>
      <c r="L35" s="529">
        <f>L34*L38</f>
        <v>8337.0665664000007</v>
      </c>
      <c r="M35" s="529"/>
      <c r="N35" s="529">
        <f>N32</f>
        <v>32586.439600000002</v>
      </c>
      <c r="O35" s="529"/>
      <c r="P35" s="529">
        <f>P34*P38</f>
        <v>11757.0608584</v>
      </c>
      <c r="Q35" s="529"/>
      <c r="R35" s="529"/>
      <c r="S35" s="528"/>
      <c r="T35" s="529">
        <f>SUM(C35:P35)+1</f>
        <v>315702.26342480001</v>
      </c>
      <c r="U35" s="530"/>
      <c r="V35" s="506"/>
      <c r="X35" s="538"/>
      <c r="Z35" s="538"/>
    </row>
    <row r="36" spans="1:26" s="507" customFormat="1" x14ac:dyDescent="0.35">
      <c r="A36" s="524"/>
      <c r="B36" s="526" t="s">
        <v>298</v>
      </c>
      <c r="C36" s="531"/>
      <c r="D36" s="535">
        <f>D37*D34</f>
        <v>0</v>
      </c>
      <c r="E36" s="531"/>
      <c r="F36" s="535">
        <f>F37*F34</f>
        <v>99194.990999999995</v>
      </c>
      <c r="G36" s="535"/>
      <c r="H36" s="535">
        <f>H37*H34</f>
        <v>141707.13</v>
      </c>
      <c r="I36" s="535"/>
      <c r="J36" s="535">
        <f>J37*J34</f>
        <v>19413.3966</v>
      </c>
      <c r="K36" s="535"/>
      <c r="L36" s="535">
        <f>L37*L34</f>
        <v>8251.3197935999997</v>
      </c>
      <c r="M36" s="535"/>
      <c r="N36" s="535">
        <f>N37*N34</f>
        <v>32251.287899999999</v>
      </c>
      <c r="O36" s="535"/>
      <c r="P36" s="535">
        <f>P34*P37</f>
        <v>11636.139426599999</v>
      </c>
      <c r="Q36" s="539"/>
      <c r="R36" s="539"/>
      <c r="S36" s="528"/>
      <c r="T36" s="535">
        <f>SUM(C36:P36)+1</f>
        <v>312455.26472019998</v>
      </c>
      <c r="U36" s="530"/>
      <c r="V36" s="506"/>
      <c r="X36" s="538"/>
      <c r="Z36" s="538"/>
    </row>
    <row r="37" spans="1:26" s="491" customFormat="1" x14ac:dyDescent="0.35">
      <c r="A37" s="492"/>
      <c r="B37" s="479" t="s">
        <v>137</v>
      </c>
      <c r="C37" s="493"/>
      <c r="D37" s="494">
        <v>0</v>
      </c>
      <c r="E37" s="495"/>
      <c r="F37" s="494">
        <v>0.94471419999999995</v>
      </c>
      <c r="G37" s="494"/>
      <c r="H37" s="494">
        <v>0.94471419999999995</v>
      </c>
      <c r="I37" s="494"/>
      <c r="J37" s="494">
        <v>0.62623859999999998</v>
      </c>
      <c r="K37" s="494"/>
      <c r="L37" s="494">
        <v>0.62623859999999998</v>
      </c>
      <c r="M37" s="494"/>
      <c r="N37" s="494">
        <v>0.62623859999999998</v>
      </c>
      <c r="O37" s="494"/>
      <c r="P37" s="494">
        <v>0.62623859999999998</v>
      </c>
      <c r="Q37" s="496"/>
      <c r="R37" s="496"/>
      <c r="S37" s="493"/>
      <c r="T37" s="493"/>
      <c r="U37" s="497"/>
      <c r="V37" s="490"/>
    </row>
    <row r="38" spans="1:26" s="491" customFormat="1" x14ac:dyDescent="0.35">
      <c r="A38" s="492"/>
      <c r="B38" s="479" t="s">
        <v>138</v>
      </c>
      <c r="C38" s="493"/>
      <c r="D38" s="494">
        <v>0</v>
      </c>
      <c r="E38" s="495"/>
      <c r="F38" s="494">
        <v>0.95453160000000004</v>
      </c>
      <c r="G38" s="494"/>
      <c r="H38" s="494">
        <v>0.95453160000000004</v>
      </c>
      <c r="I38" s="494"/>
      <c r="J38" s="494">
        <v>0.63274640000000004</v>
      </c>
      <c r="K38" s="494"/>
      <c r="L38" s="494">
        <v>0.63274640000000004</v>
      </c>
      <c r="M38" s="494"/>
      <c r="N38" s="494">
        <v>0.63274640000000004</v>
      </c>
      <c r="O38" s="494"/>
      <c r="P38" s="494">
        <v>0.63274640000000004</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0</v>
      </c>
      <c r="E40" s="521"/>
      <c r="F40" s="541">
        <v>1.1174999999999999E-2</v>
      </c>
      <c r="G40" s="540"/>
      <c r="H40" s="541">
        <v>0</v>
      </c>
      <c r="I40" s="540"/>
      <c r="J40" s="541">
        <v>1.3375E-2</v>
      </c>
      <c r="K40" s="540"/>
      <c r="L40" s="541">
        <v>1.4499999999999999E-3</v>
      </c>
      <c r="M40" s="540"/>
      <c r="N40" s="541">
        <v>1.8974999999999999E-2</v>
      </c>
      <c r="O40" s="540"/>
      <c r="P40" s="541">
        <v>7.0499999999999998E-3</v>
      </c>
      <c r="Q40" s="540"/>
      <c r="R40" s="541"/>
      <c r="S40" s="521"/>
      <c r="T40" s="527"/>
      <c r="U40" s="523"/>
      <c r="V40" s="506"/>
    </row>
    <row r="41" spans="1:26" s="507" customFormat="1" x14ac:dyDescent="0.35">
      <c r="A41" s="520"/>
      <c r="B41" s="521" t="s">
        <v>13</v>
      </c>
      <c r="C41" s="521"/>
      <c r="D41" s="541">
        <v>0</v>
      </c>
      <c r="E41" s="521"/>
      <c r="F41" s="541">
        <v>1.1013800000000001E-2</v>
      </c>
      <c r="G41" s="540"/>
      <c r="H41" s="541">
        <v>0</v>
      </c>
      <c r="I41" s="540"/>
      <c r="J41" s="541">
        <v>1.32138E-2</v>
      </c>
      <c r="K41" s="540"/>
      <c r="L41" s="541">
        <v>1.07E-3</v>
      </c>
      <c r="M41" s="540"/>
      <c r="N41" s="541">
        <v>1.8813799999999999E-2</v>
      </c>
      <c r="O41" s="540"/>
      <c r="P41" s="541">
        <v>6.6699999999999997E-3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0</v>
      </c>
      <c r="E43" s="521"/>
      <c r="F43" s="541">
        <f>+F40</f>
        <v>1.1174999999999999E-2</v>
      </c>
      <c r="G43" s="540"/>
      <c r="H43" s="541">
        <v>1.1625E-2</v>
      </c>
      <c r="I43" s="540"/>
      <c r="J43" s="541">
        <f>+J40</f>
        <v>1.3375E-2</v>
      </c>
      <c r="K43" s="540"/>
      <c r="L43" s="541">
        <v>1.4104999999999999E-2</v>
      </c>
      <c r="M43" s="540"/>
      <c r="N43" s="541">
        <f>+N40</f>
        <v>1.8974999999999999E-2</v>
      </c>
      <c r="O43" s="540"/>
      <c r="P43" s="541">
        <v>2.0205000000000001E-2</v>
      </c>
      <c r="Q43" s="527"/>
      <c r="R43" s="527"/>
      <c r="S43" s="521"/>
      <c r="T43" s="540">
        <f>SUMPRODUCT(D43:P43,D35:P35)/T35</f>
        <v>1.2734510852440178E-2</v>
      </c>
      <c r="U43" s="523"/>
      <c r="V43" s="506"/>
    </row>
    <row r="44" spans="1:26" s="507" customFormat="1" x14ac:dyDescent="0.35">
      <c r="A44" s="520"/>
      <c r="B44" s="521" t="s">
        <v>301</v>
      </c>
      <c r="C44" s="542"/>
      <c r="D44" s="541">
        <f>+D41</f>
        <v>0</v>
      </c>
      <c r="E44" s="521"/>
      <c r="F44" s="541">
        <f>+F41</f>
        <v>1.1013800000000001E-2</v>
      </c>
      <c r="G44" s="540"/>
      <c r="H44" s="541">
        <v>1.14638E-2</v>
      </c>
      <c r="I44" s="540"/>
      <c r="J44" s="541">
        <f>+J41</f>
        <v>1.32138E-2</v>
      </c>
      <c r="K44" s="540"/>
      <c r="L44" s="541">
        <v>1.3943799999999999E-2</v>
      </c>
      <c r="M44" s="540"/>
      <c r="N44" s="541">
        <f>+N41</f>
        <v>1.8813799999999999E-2</v>
      </c>
      <c r="O44" s="540"/>
      <c r="P44" s="541">
        <v>2.0043800000000001E-2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0.29701749168161123</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43906</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91</v>
      </c>
      <c r="Q56" s="521"/>
      <c r="R56" s="551">
        <v>43724</v>
      </c>
      <c r="S56" s="552"/>
      <c r="T56" s="551">
        <v>43814</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91</v>
      </c>
      <c r="Q57" s="521"/>
      <c r="R57" s="551">
        <v>43815</v>
      </c>
      <c r="S57" s="552"/>
      <c r="T57" s="551">
        <v>43905</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43892</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379</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315702</v>
      </c>
      <c r="M67" s="564"/>
      <c r="N67" s="564">
        <v>3247</v>
      </c>
      <c r="O67" s="564"/>
      <c r="P67" s="564">
        <v>0</v>
      </c>
      <c r="Q67" s="564"/>
      <c r="R67" s="564">
        <v>0</v>
      </c>
      <c r="S67" s="564"/>
      <c r="T67" s="565">
        <f>+L67-N67+P67-R67</f>
        <v>312455</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315702</v>
      </c>
      <c r="M70" s="564"/>
      <c r="N70" s="564">
        <f>SUM(N67:N69)</f>
        <v>3247</v>
      </c>
      <c r="O70" s="564"/>
      <c r="P70" s="564">
        <f>SUM(P67:P69)</f>
        <v>0</v>
      </c>
      <c r="Q70" s="564"/>
      <c r="R70" s="564">
        <f>SUM(R67:R69)</f>
        <v>0</v>
      </c>
      <c r="S70" s="564"/>
      <c r="T70" s="564">
        <f>SUM(T67:T69)</f>
        <v>312455</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315702</v>
      </c>
      <c r="M83" s="564"/>
      <c r="N83" s="564"/>
      <c r="O83" s="564"/>
      <c r="P83" s="564"/>
      <c r="Q83" s="564"/>
      <c r="R83" s="564"/>
      <c r="S83" s="564"/>
      <c r="T83" s="564">
        <f>SUM(T70:T82)</f>
        <v>312455</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+R200</f>
        <v>43889</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3247+45</f>
        <v>3292</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1816+858-475-207</f>
        <v>1992</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6+4</f>
        <v>10</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42</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180</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3292</v>
      </c>
      <c r="S95" s="521"/>
      <c r="T95" s="564">
        <f>SUM(T87:T94)</f>
        <v>2224</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-183</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3292</v>
      </c>
      <c r="S99" s="521"/>
      <c r="T99" s="564">
        <f>T95+T97+T96+T98</f>
        <v>2041</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-121-86-5</f>
        <v>-212</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v>-279</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-415</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-29</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-65</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-59</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-154</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-9</v>
      </c>
      <c r="U113" s="523"/>
      <c r="V113" s="506"/>
    </row>
    <row r="114" spans="1:22" s="507" customFormat="1" x14ac:dyDescent="0.35">
      <c r="A114" s="520">
        <f t="shared" ref="A114:A122" si="0">+A113+1</f>
        <v>9</v>
      </c>
      <c r="B114" s="521" t="s">
        <v>47</v>
      </c>
      <c r="C114" s="521"/>
      <c r="D114" s="521"/>
      <c r="E114" s="521"/>
      <c r="F114" s="521"/>
      <c r="G114" s="521"/>
      <c r="H114" s="521"/>
      <c r="I114" s="521"/>
      <c r="J114" s="521"/>
      <c r="K114" s="521"/>
      <c r="L114" s="521"/>
      <c r="M114" s="521"/>
      <c r="N114" s="521"/>
      <c r="O114" s="521"/>
      <c r="P114" s="521"/>
      <c r="Q114" s="521"/>
      <c r="R114" s="564">
        <f>-T114</f>
        <v>-45</v>
      </c>
      <c r="S114" s="521"/>
      <c r="T114" s="565">
        <v>45</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-121</v>
      </c>
      <c r="U118" s="523"/>
      <c r="V118" s="506"/>
    </row>
    <row r="119" spans="1:22" s="507" customFormat="1" x14ac:dyDescent="0.35">
      <c r="A119" s="520">
        <f t="shared" si="0"/>
        <v>14</v>
      </c>
      <c r="B119" s="568" t="s">
        <v>376</v>
      </c>
      <c r="C119" s="521"/>
      <c r="D119" s="521"/>
      <c r="E119" s="521"/>
      <c r="F119" s="521"/>
      <c r="G119" s="521"/>
      <c r="H119" s="521"/>
      <c r="I119" s="521"/>
      <c r="J119" s="521"/>
      <c r="K119" s="521"/>
      <c r="L119" s="521"/>
      <c r="M119" s="521"/>
      <c r="N119" s="521"/>
      <c r="O119" s="521"/>
      <c r="P119" s="521"/>
      <c r="Q119" s="521"/>
      <c r="R119" s="521"/>
      <c r="S119" s="521"/>
      <c r="T119" s="565">
        <v>-222</v>
      </c>
      <c r="U119" s="523"/>
      <c r="V119" s="506"/>
    </row>
    <row r="120" spans="1:22" s="507" customFormat="1" x14ac:dyDescent="0.35">
      <c r="A120" s="520">
        <f t="shared" si="0"/>
        <v>15</v>
      </c>
      <c r="B120" s="521" t="s">
        <v>373</v>
      </c>
      <c r="C120" s="521"/>
      <c r="D120" s="521"/>
      <c r="E120" s="521"/>
      <c r="F120" s="521"/>
      <c r="G120" s="521"/>
      <c r="H120" s="521"/>
      <c r="I120" s="521"/>
      <c r="J120" s="521"/>
      <c r="K120" s="521"/>
      <c r="L120" s="521"/>
      <c r="M120" s="521"/>
      <c r="N120" s="521"/>
      <c r="O120" s="521"/>
      <c r="P120" s="521"/>
      <c r="Q120" s="521"/>
      <c r="R120" s="521"/>
      <c r="S120" s="521"/>
      <c r="T120" s="565">
        <v>-180</v>
      </c>
      <c r="U120" s="523"/>
      <c r="V120" s="506"/>
    </row>
    <row r="121" spans="1:22" s="507" customFormat="1" x14ac:dyDescent="0.35">
      <c r="A121" s="520">
        <f t="shared" si="0"/>
        <v>16</v>
      </c>
      <c r="B121" s="521" t="s">
        <v>375</v>
      </c>
      <c r="C121" s="521"/>
      <c r="D121" s="521"/>
      <c r="E121" s="521"/>
      <c r="F121" s="521"/>
      <c r="G121" s="521"/>
      <c r="H121" s="521"/>
      <c r="I121" s="521"/>
      <c r="J121" s="521"/>
      <c r="K121" s="521"/>
      <c r="L121" s="521"/>
      <c r="M121" s="521"/>
      <c r="N121" s="521"/>
      <c r="O121" s="521"/>
      <c r="P121" s="521"/>
      <c r="Q121" s="521"/>
      <c r="R121" s="521"/>
      <c r="S121" s="521"/>
      <c r="T121" s="565">
        <v>0</v>
      </c>
      <c r="U121" s="523"/>
      <c r="V121" s="506"/>
    </row>
    <row r="122" spans="1:22" s="507" customFormat="1" x14ac:dyDescent="0.35">
      <c r="A122" s="520">
        <f t="shared" si="0"/>
        <v>17</v>
      </c>
      <c r="B122" s="521" t="s">
        <v>374</v>
      </c>
      <c r="C122" s="521"/>
      <c r="D122" s="521"/>
      <c r="E122" s="521"/>
      <c r="F122" s="521"/>
      <c r="G122" s="521"/>
      <c r="H122" s="521"/>
      <c r="I122" s="521"/>
      <c r="J122" s="521"/>
      <c r="K122" s="521"/>
      <c r="L122" s="521"/>
      <c r="M122" s="521"/>
      <c r="N122" s="521"/>
      <c r="O122" s="521"/>
      <c r="P122" s="521"/>
      <c r="Q122" s="521"/>
      <c r="R122" s="521"/>
      <c r="S122" s="521"/>
      <c r="T122" s="565">
        <f>-T99-SUM(T101:T121)</f>
        <v>-339</v>
      </c>
      <c r="U122" s="523"/>
      <c r="V122" s="506"/>
    </row>
    <row r="123" spans="1:22" x14ac:dyDescent="0.35">
      <c r="A123" s="416"/>
      <c r="B123" s="483" t="s">
        <v>39</v>
      </c>
      <c r="C123" s="417"/>
      <c r="D123" s="417"/>
      <c r="E123" s="417"/>
      <c r="F123" s="417"/>
      <c r="G123" s="417"/>
      <c r="H123" s="417"/>
      <c r="I123" s="417"/>
      <c r="J123" s="417"/>
      <c r="K123" s="417"/>
      <c r="L123" s="417"/>
      <c r="M123" s="417"/>
      <c r="N123" s="417"/>
      <c r="O123" s="417"/>
      <c r="P123" s="417"/>
      <c r="Q123" s="417"/>
      <c r="R123" s="417"/>
      <c r="S123" s="417"/>
      <c r="T123" s="434"/>
      <c r="U123" s="418"/>
      <c r="V123" s="405"/>
    </row>
    <row r="124" spans="1:22" s="507" customFormat="1" x14ac:dyDescent="0.35">
      <c r="A124" s="520"/>
      <c r="B124" s="521" t="s">
        <v>184</v>
      </c>
      <c r="C124" s="521"/>
      <c r="D124" s="521"/>
      <c r="E124" s="521"/>
      <c r="F124" s="521"/>
      <c r="G124" s="521"/>
      <c r="H124" s="521"/>
      <c r="I124" s="521"/>
      <c r="J124" s="521"/>
      <c r="K124" s="521"/>
      <c r="L124" s="521"/>
      <c r="M124" s="521"/>
      <c r="N124" s="521"/>
      <c r="O124" s="521"/>
      <c r="P124" s="521"/>
      <c r="Q124" s="521"/>
      <c r="R124" s="564">
        <f>-R184</f>
        <v>0</v>
      </c>
      <c r="S124" s="564"/>
      <c r="T124" s="565"/>
      <c r="U124" s="523"/>
      <c r="V124" s="506"/>
    </row>
    <row r="125" spans="1:22" s="507" customFormat="1" x14ac:dyDescent="0.35">
      <c r="A125" s="520"/>
      <c r="B125" s="521" t="s">
        <v>185</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40</v>
      </c>
      <c r="C126" s="521"/>
      <c r="D126" s="521"/>
      <c r="E126" s="521"/>
      <c r="F126" s="521"/>
      <c r="G126" s="521"/>
      <c r="H126" s="521"/>
      <c r="I126" s="521"/>
      <c r="J126" s="521"/>
      <c r="K126" s="521"/>
      <c r="L126" s="521"/>
      <c r="M126" s="521"/>
      <c r="N126" s="521"/>
      <c r="O126" s="521"/>
      <c r="P126" s="521"/>
      <c r="Q126" s="521"/>
      <c r="R126" s="564">
        <f>-Q184</f>
        <v>0</v>
      </c>
      <c r="S126" s="564"/>
      <c r="T126" s="565"/>
      <c r="U126" s="523"/>
      <c r="V126" s="506"/>
    </row>
    <row r="127" spans="1:22" s="507" customFormat="1" x14ac:dyDescent="0.35">
      <c r="A127" s="520"/>
      <c r="B127" s="521" t="s">
        <v>377</v>
      </c>
      <c r="C127" s="521"/>
      <c r="D127" s="521"/>
      <c r="E127" s="521"/>
      <c r="F127" s="521"/>
      <c r="G127" s="521"/>
      <c r="H127" s="521"/>
      <c r="I127" s="521"/>
      <c r="J127" s="521"/>
      <c r="K127" s="521"/>
      <c r="L127" s="521"/>
      <c r="M127" s="521"/>
      <c r="N127" s="521"/>
      <c r="O127" s="521"/>
      <c r="P127" s="521"/>
      <c r="Q127" s="521"/>
      <c r="R127" s="564">
        <v>0</v>
      </c>
      <c r="S127" s="564"/>
      <c r="T127" s="565"/>
      <c r="U127" s="523"/>
      <c r="V127" s="506"/>
    </row>
    <row r="128" spans="1:22" s="507" customFormat="1" x14ac:dyDescent="0.35">
      <c r="A128" s="520"/>
      <c r="B128" s="521" t="s">
        <v>229</v>
      </c>
      <c r="C128" s="521"/>
      <c r="D128" s="521"/>
      <c r="E128" s="521"/>
      <c r="F128" s="521"/>
      <c r="G128" s="521"/>
      <c r="H128" s="521"/>
      <c r="I128" s="521"/>
      <c r="J128" s="521"/>
      <c r="K128" s="521"/>
      <c r="L128" s="521"/>
      <c r="M128" s="521"/>
      <c r="N128" s="521"/>
      <c r="O128" s="521"/>
      <c r="P128" s="521"/>
      <c r="Q128" s="521"/>
      <c r="R128" s="564">
        <v>-1031</v>
      </c>
      <c r="S128" s="564"/>
      <c r="T128" s="565"/>
      <c r="U128" s="523"/>
      <c r="V128" s="506"/>
    </row>
    <row r="129" spans="1:22" s="507" customFormat="1" x14ac:dyDescent="0.35">
      <c r="A129" s="520"/>
      <c r="B129" s="521" t="s">
        <v>228</v>
      </c>
      <c r="C129" s="521"/>
      <c r="D129" s="521"/>
      <c r="E129" s="521"/>
      <c r="F129" s="521"/>
      <c r="G129" s="521"/>
      <c r="H129" s="521"/>
      <c r="I129" s="521"/>
      <c r="J129" s="521"/>
      <c r="K129" s="521"/>
      <c r="L129" s="521"/>
      <c r="M129" s="521"/>
      <c r="N129" s="521"/>
      <c r="O129" s="521"/>
      <c r="P129" s="521"/>
      <c r="Q129" s="521"/>
      <c r="R129" s="564">
        <v>-1473</v>
      </c>
      <c r="S129" s="564"/>
      <c r="T129" s="565"/>
      <c r="U129" s="523"/>
      <c r="V129" s="506"/>
    </row>
    <row r="130" spans="1:22" s="507" customFormat="1" x14ac:dyDescent="0.35">
      <c r="A130" s="520"/>
      <c r="B130" s="521" t="s">
        <v>221</v>
      </c>
      <c r="C130" s="521"/>
      <c r="D130" s="521"/>
      <c r="E130" s="521"/>
      <c r="F130" s="521"/>
      <c r="G130" s="521"/>
      <c r="H130" s="521"/>
      <c r="I130" s="521"/>
      <c r="J130" s="521"/>
      <c r="K130" s="521"/>
      <c r="L130" s="521"/>
      <c r="M130" s="521"/>
      <c r="N130" s="521"/>
      <c r="O130" s="521"/>
      <c r="P130" s="521"/>
      <c r="Q130" s="521"/>
      <c r="R130" s="564">
        <v>-202</v>
      </c>
      <c r="S130" s="564"/>
      <c r="T130" s="565"/>
      <c r="U130" s="523"/>
      <c r="V130" s="506"/>
    </row>
    <row r="131" spans="1:22" s="507" customFormat="1" x14ac:dyDescent="0.35">
      <c r="A131" s="520"/>
      <c r="B131" s="521" t="s">
        <v>220</v>
      </c>
      <c r="C131" s="521"/>
      <c r="D131" s="521"/>
      <c r="E131" s="521"/>
      <c r="F131" s="521"/>
      <c r="G131" s="521"/>
      <c r="H131" s="521"/>
      <c r="I131" s="521"/>
      <c r="J131" s="521"/>
      <c r="K131" s="521"/>
      <c r="L131" s="521"/>
      <c r="M131" s="521"/>
      <c r="N131" s="521"/>
      <c r="O131" s="521"/>
      <c r="P131" s="521"/>
      <c r="Q131" s="521"/>
      <c r="R131" s="564">
        <v>-85</v>
      </c>
      <c r="S131" s="564"/>
      <c r="T131" s="565"/>
      <c r="U131" s="523"/>
      <c r="V131" s="506"/>
    </row>
    <row r="132" spans="1:22" s="507" customFormat="1" x14ac:dyDescent="0.35">
      <c r="A132" s="520"/>
      <c r="B132" s="521" t="s">
        <v>219</v>
      </c>
      <c r="C132" s="521"/>
      <c r="D132" s="521"/>
      <c r="E132" s="521"/>
      <c r="F132" s="521"/>
      <c r="G132" s="521"/>
      <c r="H132" s="521"/>
      <c r="I132" s="521"/>
      <c r="J132" s="521"/>
      <c r="K132" s="521"/>
      <c r="L132" s="521"/>
      <c r="M132" s="521"/>
      <c r="N132" s="521"/>
      <c r="O132" s="521"/>
      <c r="P132" s="521"/>
      <c r="Q132" s="521"/>
      <c r="R132" s="564">
        <v>-335</v>
      </c>
      <c r="S132" s="564"/>
      <c r="T132" s="565"/>
      <c r="U132" s="523"/>
      <c r="V132" s="506"/>
    </row>
    <row r="133" spans="1:22" s="507" customFormat="1" x14ac:dyDescent="0.35">
      <c r="A133" s="520"/>
      <c r="B133" s="521" t="s">
        <v>218</v>
      </c>
      <c r="C133" s="521"/>
      <c r="D133" s="521"/>
      <c r="E133" s="521"/>
      <c r="F133" s="521"/>
      <c r="G133" s="521"/>
      <c r="H133" s="521"/>
      <c r="I133" s="521"/>
      <c r="J133" s="521"/>
      <c r="K133" s="521"/>
      <c r="L133" s="521"/>
      <c r="M133" s="521"/>
      <c r="N133" s="521"/>
      <c r="O133" s="521"/>
      <c r="P133" s="521"/>
      <c r="Q133" s="521"/>
      <c r="R133" s="564">
        <v>-121</v>
      </c>
      <c r="S133" s="564"/>
      <c r="T133" s="565"/>
      <c r="U133" s="523"/>
      <c r="V133" s="506"/>
    </row>
    <row r="134" spans="1:22" s="507" customFormat="1" x14ac:dyDescent="0.35">
      <c r="A134" s="520"/>
      <c r="B134" s="521" t="s">
        <v>41</v>
      </c>
      <c r="C134" s="521"/>
      <c r="D134" s="521"/>
      <c r="E134" s="521"/>
      <c r="F134" s="521"/>
      <c r="G134" s="521"/>
      <c r="H134" s="521"/>
      <c r="I134" s="521"/>
      <c r="J134" s="521"/>
      <c r="K134" s="521"/>
      <c r="L134" s="521"/>
      <c r="M134" s="521"/>
      <c r="N134" s="521"/>
      <c r="O134" s="521"/>
      <c r="P134" s="521"/>
      <c r="Q134" s="521"/>
      <c r="R134" s="564">
        <f>SUM(R124:R133)</f>
        <v>-3247</v>
      </c>
      <c r="S134" s="564"/>
      <c r="T134" s="564">
        <f>SUM(T100:T132)</f>
        <v>-2041</v>
      </c>
      <c r="U134" s="523"/>
      <c r="V134" s="506"/>
    </row>
    <row r="135" spans="1:22" s="507" customFormat="1" x14ac:dyDescent="0.35">
      <c r="A135" s="520"/>
      <c r="B135" s="521" t="s">
        <v>42</v>
      </c>
      <c r="C135" s="521"/>
      <c r="D135" s="521"/>
      <c r="E135" s="521"/>
      <c r="F135" s="521"/>
      <c r="G135" s="521"/>
      <c r="H135" s="521"/>
      <c r="I135" s="521"/>
      <c r="J135" s="521"/>
      <c r="K135" s="521"/>
      <c r="L135" s="521"/>
      <c r="M135" s="521"/>
      <c r="N135" s="521"/>
      <c r="O135" s="521"/>
      <c r="P135" s="521"/>
      <c r="Q135" s="521"/>
      <c r="R135" s="564">
        <f>R99+R134+R114</f>
        <v>0</v>
      </c>
      <c r="S135" s="564"/>
      <c r="T135" s="564">
        <f>T99+T134</f>
        <v>0</v>
      </c>
      <c r="U135" s="523"/>
      <c r="V135" s="506"/>
    </row>
    <row r="136" spans="1:22" s="507" customFormat="1" x14ac:dyDescent="0.35">
      <c r="A136" s="508"/>
      <c r="B136" s="554"/>
      <c r="C136" s="554"/>
      <c r="D136" s="554"/>
      <c r="E136" s="554"/>
      <c r="F136" s="554"/>
      <c r="G136" s="554"/>
      <c r="H136" s="554"/>
      <c r="I136" s="554"/>
      <c r="J136" s="554"/>
      <c r="K136" s="554"/>
      <c r="L136" s="554"/>
      <c r="M136" s="554"/>
      <c r="N136" s="554"/>
      <c r="O136" s="554"/>
      <c r="P136" s="554"/>
      <c r="Q136" s="554"/>
      <c r="R136" s="571"/>
      <c r="S136" s="571"/>
      <c r="T136" s="571"/>
      <c r="U136" s="554"/>
      <c r="V136" s="506"/>
    </row>
    <row r="137" spans="1:22" s="507" customFormat="1" x14ac:dyDescent="0.35">
      <c r="A137" s="508"/>
      <c r="B137" s="509"/>
      <c r="C137" s="509"/>
      <c r="D137" s="509"/>
      <c r="E137" s="509"/>
      <c r="F137" s="509"/>
      <c r="G137" s="509"/>
      <c r="H137" s="509"/>
      <c r="I137" s="509"/>
      <c r="J137" s="509"/>
      <c r="K137" s="509"/>
      <c r="L137" s="509"/>
      <c r="M137" s="509"/>
      <c r="N137" s="509"/>
      <c r="O137" s="509"/>
      <c r="P137" s="509"/>
      <c r="Q137" s="509"/>
      <c r="R137" s="509"/>
      <c r="S137" s="509"/>
      <c r="T137" s="572"/>
      <c r="U137" s="509"/>
      <c r="V137" s="506"/>
    </row>
    <row r="138" spans="1:22" s="507" customFormat="1" ht="19" thickBot="1" x14ac:dyDescent="0.5">
      <c r="A138" s="559"/>
      <c r="B138" s="560" t="str">
        <f>B63</f>
        <v>PM10 INVESTOR REPORT QUARTER ENDING FEBRUARY 2020</v>
      </c>
      <c r="C138" s="561"/>
      <c r="D138" s="561"/>
      <c r="E138" s="561"/>
      <c r="F138" s="561"/>
      <c r="G138" s="561"/>
      <c r="H138" s="561"/>
      <c r="I138" s="561"/>
      <c r="J138" s="561"/>
      <c r="K138" s="561"/>
      <c r="L138" s="561"/>
      <c r="M138" s="561"/>
      <c r="N138" s="561"/>
      <c r="O138" s="561"/>
      <c r="P138" s="561"/>
      <c r="Q138" s="561"/>
      <c r="R138" s="561"/>
      <c r="S138" s="561"/>
      <c r="T138" s="573"/>
      <c r="U138" s="563"/>
      <c r="V138" s="506"/>
    </row>
    <row r="139" spans="1:22" x14ac:dyDescent="0.35">
      <c r="A139" s="615"/>
      <c r="B139" s="616" t="s">
        <v>43</v>
      </c>
      <c r="C139" s="617"/>
      <c r="D139" s="617"/>
      <c r="E139" s="617"/>
      <c r="F139" s="617"/>
      <c r="G139" s="617"/>
      <c r="H139" s="617"/>
      <c r="I139" s="617"/>
      <c r="J139" s="617"/>
      <c r="K139" s="617"/>
      <c r="L139" s="617"/>
      <c r="M139" s="617"/>
      <c r="N139" s="617"/>
      <c r="O139" s="617"/>
      <c r="P139" s="617"/>
      <c r="Q139" s="617"/>
      <c r="R139" s="617"/>
      <c r="S139" s="617"/>
      <c r="T139" s="618"/>
      <c r="U139" s="617"/>
      <c r="V139" s="405"/>
    </row>
    <row r="140" spans="1:22" x14ac:dyDescent="0.35">
      <c r="A140" s="407"/>
      <c r="B140" s="436"/>
      <c r="C140" s="409"/>
      <c r="D140" s="409"/>
      <c r="E140" s="409"/>
      <c r="F140" s="409"/>
      <c r="G140" s="409"/>
      <c r="H140" s="409"/>
      <c r="I140" s="409"/>
      <c r="J140" s="409"/>
      <c r="K140" s="409"/>
      <c r="L140" s="409"/>
      <c r="M140" s="409"/>
      <c r="N140" s="409"/>
      <c r="O140" s="409"/>
      <c r="P140" s="409"/>
      <c r="Q140" s="409"/>
      <c r="R140" s="409"/>
      <c r="S140" s="409"/>
      <c r="T140" s="425"/>
      <c r="U140" s="409"/>
      <c r="V140" s="405"/>
    </row>
    <row r="141" spans="1:22" x14ac:dyDescent="0.35">
      <c r="A141" s="407"/>
      <c r="B141" s="480" t="s">
        <v>44</v>
      </c>
      <c r="C141" s="409"/>
      <c r="D141" s="409"/>
      <c r="E141" s="409"/>
      <c r="F141" s="409"/>
      <c r="G141" s="409"/>
      <c r="H141" s="409"/>
      <c r="I141" s="409"/>
      <c r="J141" s="409"/>
      <c r="K141" s="409"/>
      <c r="L141" s="409"/>
      <c r="M141" s="409"/>
      <c r="N141" s="409"/>
      <c r="O141" s="409"/>
      <c r="P141" s="409"/>
      <c r="Q141" s="409"/>
      <c r="R141" s="409"/>
      <c r="S141" s="409"/>
      <c r="T141" s="425"/>
      <c r="U141" s="409"/>
      <c r="V141" s="405"/>
    </row>
    <row r="142" spans="1:22" s="507" customFormat="1" x14ac:dyDescent="0.35">
      <c r="A142" s="520"/>
      <c r="B142" s="521" t="s">
        <v>45</v>
      </c>
      <c r="C142" s="521"/>
      <c r="D142" s="521"/>
      <c r="E142" s="521"/>
      <c r="F142" s="521"/>
      <c r="G142" s="521"/>
      <c r="H142" s="521"/>
      <c r="I142" s="521"/>
      <c r="J142" s="521"/>
      <c r="K142" s="521"/>
      <c r="L142" s="521"/>
      <c r="M142" s="521"/>
      <c r="N142" s="521"/>
      <c r="O142" s="521"/>
      <c r="P142" s="521"/>
      <c r="Q142" s="521"/>
      <c r="R142" s="521"/>
      <c r="S142" s="521"/>
      <c r="T142" s="565">
        <f>+T34*0.0186</f>
        <v>18606.565799999997</v>
      </c>
      <c r="U142" s="523"/>
      <c r="V142" s="506"/>
    </row>
    <row r="143" spans="1:22" s="507" customFormat="1" x14ac:dyDescent="0.35">
      <c r="A143" s="520"/>
      <c r="B143" s="521" t="s">
        <v>46</v>
      </c>
      <c r="C143" s="521"/>
      <c r="D143" s="521"/>
      <c r="E143" s="521"/>
      <c r="F143" s="521"/>
      <c r="G143" s="521"/>
      <c r="H143" s="521"/>
      <c r="I143" s="521"/>
      <c r="J143" s="521"/>
      <c r="K143" s="521"/>
      <c r="L143" s="521"/>
      <c r="M143" s="521"/>
      <c r="N143" s="521"/>
      <c r="O143" s="521"/>
      <c r="P143" s="521"/>
      <c r="Q143" s="521"/>
      <c r="R143" s="521"/>
      <c r="S143" s="521"/>
      <c r="T143" s="565">
        <v>18607</v>
      </c>
      <c r="U143" s="523"/>
      <c r="V143" s="506"/>
    </row>
    <row r="144" spans="1:22" s="507" customFormat="1" x14ac:dyDescent="0.35">
      <c r="A144" s="520"/>
      <c r="B144" s="521" t="s">
        <v>143</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130</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131</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186</v>
      </c>
      <c r="C147" s="521"/>
      <c r="D147" s="521"/>
      <c r="E147" s="521"/>
      <c r="F147" s="521"/>
      <c r="G147" s="521"/>
      <c r="H147" s="521"/>
      <c r="I147" s="521"/>
      <c r="J147" s="521"/>
      <c r="K147" s="521"/>
      <c r="L147" s="521"/>
      <c r="M147" s="521"/>
      <c r="N147" s="521"/>
      <c r="O147" s="521"/>
      <c r="P147" s="521"/>
      <c r="Q147" s="521"/>
      <c r="R147" s="521"/>
      <c r="S147" s="521"/>
      <c r="T147" s="565">
        <v>0</v>
      </c>
      <c r="U147" s="523"/>
      <c r="V147" s="506"/>
    </row>
    <row r="148" spans="1:23" s="507" customFormat="1" x14ac:dyDescent="0.35">
      <c r="A148" s="520"/>
      <c r="B148" s="521" t="s">
        <v>47</v>
      </c>
      <c r="C148" s="521"/>
      <c r="D148" s="521"/>
      <c r="E148" s="521"/>
      <c r="F148" s="521"/>
      <c r="G148" s="521"/>
      <c r="H148" s="521"/>
      <c r="I148" s="521"/>
      <c r="J148" s="521"/>
      <c r="K148" s="521"/>
      <c r="L148" s="521"/>
      <c r="M148" s="521"/>
      <c r="N148" s="521"/>
      <c r="O148" s="521"/>
      <c r="P148" s="521"/>
      <c r="Q148" s="521"/>
      <c r="R148" s="521"/>
      <c r="S148" s="521"/>
      <c r="T148" s="565">
        <v>0</v>
      </c>
      <c r="U148" s="523"/>
      <c r="V148" s="506"/>
    </row>
    <row r="149" spans="1:23" s="507" customFormat="1" x14ac:dyDescent="0.35">
      <c r="A149" s="520"/>
      <c r="B149" s="521" t="s">
        <v>136</v>
      </c>
      <c r="C149" s="521"/>
      <c r="D149" s="521"/>
      <c r="E149" s="521"/>
      <c r="F149" s="521"/>
      <c r="G149" s="521"/>
      <c r="H149" s="521"/>
      <c r="I149" s="521"/>
      <c r="J149" s="521"/>
      <c r="K149" s="521"/>
      <c r="L149" s="521"/>
      <c r="M149" s="521"/>
      <c r="N149" s="521"/>
      <c r="O149" s="521"/>
      <c r="P149" s="521"/>
      <c r="Q149" s="521"/>
      <c r="R149" s="521"/>
      <c r="S149" s="521"/>
      <c r="T149" s="565">
        <v>0</v>
      </c>
      <c r="U149" s="523"/>
      <c r="V149" s="506"/>
    </row>
    <row r="150" spans="1:23" s="507" customFormat="1" x14ac:dyDescent="0.35">
      <c r="A150" s="520"/>
      <c r="B150" s="521" t="s">
        <v>222</v>
      </c>
      <c r="C150" s="521"/>
      <c r="D150" s="521"/>
      <c r="E150" s="521"/>
      <c r="F150" s="521"/>
      <c r="G150" s="521"/>
      <c r="H150" s="521"/>
      <c r="I150" s="521"/>
      <c r="J150" s="521"/>
      <c r="K150" s="521"/>
      <c r="L150" s="521"/>
      <c r="M150" s="521"/>
      <c r="N150" s="521"/>
      <c r="O150" s="521"/>
      <c r="P150" s="521"/>
      <c r="Q150" s="521"/>
      <c r="R150" s="521"/>
      <c r="S150" s="521"/>
      <c r="T150" s="565">
        <v>0</v>
      </c>
      <c r="U150" s="523"/>
      <c r="V150" s="506"/>
      <c r="W150" s="570"/>
    </row>
    <row r="151" spans="1:23" s="507" customFormat="1" x14ac:dyDescent="0.35">
      <c r="A151" s="520"/>
      <c r="B151" s="521" t="s">
        <v>48</v>
      </c>
      <c r="C151" s="521"/>
      <c r="D151" s="521"/>
      <c r="E151" s="521"/>
      <c r="F151" s="521"/>
      <c r="G151" s="521"/>
      <c r="H151" s="521"/>
      <c r="I151" s="521"/>
      <c r="J151" s="521"/>
      <c r="K151" s="521"/>
      <c r="L151" s="521"/>
      <c r="M151" s="521"/>
      <c r="N151" s="521"/>
      <c r="O151" s="521"/>
      <c r="P151" s="521"/>
      <c r="Q151" s="521"/>
      <c r="R151" s="521"/>
      <c r="S151" s="521"/>
      <c r="T151" s="565">
        <f>SUM(T143:T150)</f>
        <v>18607</v>
      </c>
      <c r="U151" s="523"/>
      <c r="V151" s="506"/>
    </row>
    <row r="152" spans="1:23" x14ac:dyDescent="0.35">
      <c r="A152" s="420"/>
      <c r="B152" s="421"/>
      <c r="C152" s="421"/>
      <c r="D152" s="421"/>
      <c r="E152" s="421"/>
      <c r="F152" s="421"/>
      <c r="G152" s="421"/>
      <c r="H152" s="421"/>
      <c r="I152" s="421"/>
      <c r="J152" s="421"/>
      <c r="K152" s="421"/>
      <c r="L152" s="421"/>
      <c r="M152" s="421"/>
      <c r="N152" s="421"/>
      <c r="O152" s="421"/>
      <c r="P152" s="421"/>
      <c r="Q152" s="421"/>
      <c r="R152" s="421"/>
      <c r="S152" s="421"/>
      <c r="T152" s="433"/>
      <c r="U152" s="422"/>
      <c r="V152" s="405"/>
    </row>
    <row r="153" spans="1:23" x14ac:dyDescent="0.35">
      <c r="A153" s="420"/>
      <c r="B153" s="483" t="s">
        <v>266</v>
      </c>
      <c r="C153" s="421"/>
      <c r="D153" s="421"/>
      <c r="E153" s="421"/>
      <c r="F153" s="421"/>
      <c r="G153" s="421"/>
      <c r="H153" s="421"/>
      <c r="I153" s="421"/>
      <c r="J153" s="421"/>
      <c r="K153" s="421"/>
      <c r="L153" s="421"/>
      <c r="M153" s="421"/>
      <c r="N153" s="421"/>
      <c r="O153" s="421"/>
      <c r="P153" s="421"/>
      <c r="Q153" s="421"/>
      <c r="R153" s="421"/>
      <c r="S153" s="421"/>
      <c r="T153" s="433"/>
      <c r="U153" s="422"/>
      <c r="V153" s="405"/>
    </row>
    <row r="154" spans="1:23" s="507" customFormat="1" x14ac:dyDescent="0.35">
      <c r="A154" s="520"/>
      <c r="B154" s="521" t="s">
        <v>163</v>
      </c>
      <c r="C154" s="521"/>
      <c r="D154" s="521"/>
      <c r="E154" s="521"/>
      <c r="F154" s="521"/>
      <c r="G154" s="521"/>
      <c r="H154" s="521"/>
      <c r="I154" s="521"/>
      <c r="J154" s="521"/>
      <c r="K154" s="521"/>
      <c r="L154" s="521"/>
      <c r="M154" s="521"/>
      <c r="N154" s="521"/>
      <c r="O154" s="521"/>
      <c r="P154" s="521"/>
      <c r="Q154" s="521"/>
      <c r="R154" s="521"/>
      <c r="S154" s="521"/>
      <c r="T154" s="565">
        <v>5750</v>
      </c>
      <c r="U154" s="523"/>
      <c r="V154" s="506"/>
    </row>
    <row r="155" spans="1:23" s="507" customFormat="1" x14ac:dyDescent="0.35">
      <c r="A155" s="520"/>
      <c r="B155" s="521" t="s">
        <v>264</v>
      </c>
      <c r="C155" s="521"/>
      <c r="D155" s="521"/>
      <c r="E155" s="521"/>
      <c r="F155" s="521"/>
      <c r="G155" s="521"/>
      <c r="H155" s="521"/>
      <c r="I155" s="521"/>
      <c r="J155" s="521"/>
      <c r="K155" s="521"/>
      <c r="L155" s="521"/>
      <c r="M155" s="521"/>
      <c r="N155" s="521"/>
      <c r="O155" s="521"/>
      <c r="P155" s="521"/>
      <c r="Q155" s="521"/>
      <c r="R155" s="521"/>
      <c r="S155" s="521"/>
      <c r="T155" s="565">
        <v>0</v>
      </c>
      <c r="U155" s="523"/>
      <c r="V155" s="506"/>
    </row>
    <row r="156" spans="1:23" s="507" customFormat="1" x14ac:dyDescent="0.35">
      <c r="A156" s="520"/>
      <c r="B156" s="521" t="s">
        <v>183</v>
      </c>
      <c r="C156" s="521"/>
      <c r="D156" s="521"/>
      <c r="E156" s="521"/>
      <c r="F156" s="521"/>
      <c r="G156" s="521"/>
      <c r="H156" s="521"/>
      <c r="I156" s="521"/>
      <c r="J156" s="521"/>
      <c r="K156" s="521"/>
      <c r="L156" s="521"/>
      <c r="M156" s="521"/>
      <c r="N156" s="521"/>
      <c r="O156" s="521"/>
      <c r="P156" s="521"/>
      <c r="Q156" s="521"/>
      <c r="R156" s="521"/>
      <c r="S156" s="521"/>
      <c r="T156" s="565">
        <v>0</v>
      </c>
      <c r="U156" s="523"/>
      <c r="V156" s="506"/>
    </row>
    <row r="157" spans="1:23" s="507" customFormat="1" x14ac:dyDescent="0.35">
      <c r="A157" s="520"/>
      <c r="B157" s="521" t="s">
        <v>335</v>
      </c>
      <c r="C157" s="521"/>
      <c r="D157" s="521"/>
      <c r="E157" s="521"/>
      <c r="F157" s="521"/>
      <c r="G157" s="521"/>
      <c r="H157" s="521"/>
      <c r="I157" s="521"/>
      <c r="J157" s="521"/>
      <c r="K157" s="521"/>
      <c r="L157" s="521"/>
      <c r="M157" s="521"/>
      <c r="N157" s="521"/>
      <c r="O157" s="521"/>
      <c r="P157" s="521"/>
      <c r="Q157" s="521"/>
      <c r="R157" s="521"/>
      <c r="S157" s="521"/>
      <c r="T157" s="565">
        <v>0</v>
      </c>
      <c r="U157" s="523"/>
      <c r="V157" s="506"/>
    </row>
    <row r="158" spans="1:23" x14ac:dyDescent="0.35">
      <c r="A158" s="420"/>
      <c r="B158" s="421"/>
      <c r="C158" s="421"/>
      <c r="D158" s="421"/>
      <c r="E158" s="421"/>
      <c r="F158" s="421"/>
      <c r="G158" s="421"/>
      <c r="H158" s="421"/>
      <c r="I158" s="421"/>
      <c r="J158" s="421"/>
      <c r="K158" s="421"/>
      <c r="L158" s="421"/>
      <c r="M158" s="421"/>
      <c r="N158" s="421"/>
      <c r="O158" s="421"/>
      <c r="P158" s="421"/>
      <c r="Q158" s="421"/>
      <c r="R158" s="421"/>
      <c r="S158" s="421"/>
      <c r="T158" s="433"/>
      <c r="U158" s="422"/>
      <c r="V158" s="405"/>
    </row>
    <row r="159" spans="1:23" x14ac:dyDescent="0.35">
      <c r="A159" s="407"/>
      <c r="B159" s="427"/>
      <c r="C159" s="427"/>
      <c r="D159" s="427"/>
      <c r="E159" s="427"/>
      <c r="F159" s="427"/>
      <c r="G159" s="427"/>
      <c r="H159" s="427"/>
      <c r="I159" s="427"/>
      <c r="J159" s="427"/>
      <c r="K159" s="427"/>
      <c r="L159" s="427"/>
      <c r="M159" s="427"/>
      <c r="N159" s="427"/>
      <c r="O159" s="427"/>
      <c r="P159" s="427"/>
      <c r="Q159" s="427"/>
      <c r="R159" s="427"/>
      <c r="S159" s="427"/>
      <c r="T159" s="437"/>
      <c r="U159" s="427"/>
      <c r="V159" s="405"/>
    </row>
    <row r="160" spans="1:23" x14ac:dyDescent="0.35">
      <c r="A160" s="407"/>
      <c r="B160" s="480" t="s">
        <v>24</v>
      </c>
      <c r="C160" s="409"/>
      <c r="D160" s="409"/>
      <c r="E160" s="409"/>
      <c r="F160" s="409"/>
      <c r="G160" s="409"/>
      <c r="H160" s="409"/>
      <c r="I160" s="409"/>
      <c r="J160" s="409"/>
      <c r="K160" s="409"/>
      <c r="L160" s="409"/>
      <c r="M160" s="409"/>
      <c r="N160" s="409"/>
      <c r="O160" s="409"/>
      <c r="P160" s="409"/>
      <c r="Q160" s="409"/>
      <c r="R160" s="409"/>
      <c r="S160" s="409"/>
      <c r="T160" s="425"/>
      <c r="U160" s="409"/>
      <c r="V160" s="405"/>
    </row>
    <row r="161" spans="1:22" s="507" customFormat="1" x14ac:dyDescent="0.35">
      <c r="A161" s="520"/>
      <c r="B161" s="521" t="s">
        <v>49</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s="507" customFormat="1" x14ac:dyDescent="0.35">
      <c r="A162" s="520"/>
      <c r="B162" s="521" t="s">
        <v>50</v>
      </c>
      <c r="C162" s="521"/>
      <c r="D162" s="521"/>
      <c r="E162" s="521"/>
      <c r="F162" s="521"/>
      <c r="G162" s="521"/>
      <c r="H162" s="521"/>
      <c r="I162" s="521"/>
      <c r="J162" s="521"/>
      <c r="K162" s="521"/>
      <c r="L162" s="521"/>
      <c r="M162" s="521"/>
      <c r="N162" s="521"/>
      <c r="O162" s="521"/>
      <c r="P162" s="521"/>
      <c r="Q162" s="521"/>
      <c r="R162" s="521"/>
      <c r="S162" s="521"/>
      <c r="T162" s="574" t="s">
        <v>125</v>
      </c>
      <c r="U162" s="523"/>
      <c r="V162" s="506"/>
    </row>
    <row r="163" spans="1:22" s="507" customFormat="1" x14ac:dyDescent="0.35">
      <c r="A163" s="520"/>
      <c r="B163" s="521" t="s">
        <v>51</v>
      </c>
      <c r="C163" s="521"/>
      <c r="D163" s="521"/>
      <c r="E163" s="521"/>
      <c r="F163" s="521"/>
      <c r="G163" s="521"/>
      <c r="H163" s="521"/>
      <c r="I163" s="521"/>
      <c r="J163" s="521"/>
      <c r="K163" s="521"/>
      <c r="L163" s="521"/>
      <c r="M163" s="521"/>
      <c r="N163" s="521"/>
      <c r="O163" s="521"/>
      <c r="P163" s="521"/>
      <c r="Q163" s="521"/>
      <c r="R163" s="521"/>
      <c r="S163" s="521"/>
      <c r="T163" s="574" t="s">
        <v>125</v>
      </c>
      <c r="U163" s="523"/>
      <c r="V163" s="506"/>
    </row>
    <row r="164" spans="1:22" s="507" customFormat="1" x14ac:dyDescent="0.35">
      <c r="A164" s="520"/>
      <c r="B164" s="521" t="s">
        <v>52</v>
      </c>
      <c r="C164" s="521"/>
      <c r="D164" s="521"/>
      <c r="E164" s="521"/>
      <c r="F164" s="521"/>
      <c r="G164" s="521"/>
      <c r="H164" s="521"/>
      <c r="I164" s="521"/>
      <c r="J164" s="521"/>
      <c r="K164" s="521"/>
      <c r="L164" s="521"/>
      <c r="M164" s="521"/>
      <c r="N164" s="521"/>
      <c r="O164" s="521"/>
      <c r="P164" s="521"/>
      <c r="Q164" s="521"/>
      <c r="R164" s="521"/>
      <c r="S164" s="521"/>
      <c r="T164" s="574" t="s">
        <v>125</v>
      </c>
      <c r="U164" s="523"/>
      <c r="V164" s="506"/>
    </row>
    <row r="165" spans="1:22" x14ac:dyDescent="0.35">
      <c r="A165" s="407"/>
      <c r="B165" s="427"/>
      <c r="C165" s="427"/>
      <c r="D165" s="427"/>
      <c r="E165" s="427"/>
      <c r="F165" s="427"/>
      <c r="G165" s="427"/>
      <c r="H165" s="427"/>
      <c r="I165" s="427"/>
      <c r="J165" s="427"/>
      <c r="K165" s="427"/>
      <c r="L165" s="427"/>
      <c r="M165" s="427"/>
      <c r="N165" s="427"/>
      <c r="O165" s="427"/>
      <c r="P165" s="427"/>
      <c r="Q165" s="427"/>
      <c r="R165" s="427"/>
      <c r="S165" s="427"/>
      <c r="T165" s="437"/>
      <c r="U165" s="427"/>
      <c r="V165" s="405"/>
    </row>
    <row r="166" spans="1:22" x14ac:dyDescent="0.35">
      <c r="A166" s="407"/>
      <c r="B166" s="480" t="s">
        <v>53</v>
      </c>
      <c r="C166" s="409"/>
      <c r="D166" s="409"/>
      <c r="E166" s="409"/>
      <c r="F166" s="409"/>
      <c r="G166" s="409"/>
      <c r="H166" s="409"/>
      <c r="I166" s="409"/>
      <c r="J166" s="409"/>
      <c r="K166" s="409"/>
      <c r="L166" s="409"/>
      <c r="M166" s="409"/>
      <c r="N166" s="409"/>
      <c r="O166" s="409"/>
      <c r="P166" s="409"/>
      <c r="Q166" s="409"/>
      <c r="R166" s="409"/>
      <c r="S166" s="409"/>
      <c r="T166" s="438"/>
      <c r="U166" s="409"/>
      <c r="V166" s="405"/>
    </row>
    <row r="167" spans="1:22" s="507" customFormat="1" x14ac:dyDescent="0.35">
      <c r="A167" s="520"/>
      <c r="B167" s="521" t="s">
        <v>54</v>
      </c>
      <c r="C167" s="521"/>
      <c r="D167" s="521"/>
      <c r="E167" s="521"/>
      <c r="F167" s="521"/>
      <c r="G167" s="521"/>
      <c r="H167" s="521"/>
      <c r="I167" s="521"/>
      <c r="J167" s="521"/>
      <c r="K167" s="521"/>
      <c r="L167" s="521"/>
      <c r="M167" s="521"/>
      <c r="N167" s="521"/>
      <c r="O167" s="521"/>
      <c r="P167" s="521"/>
      <c r="Q167" s="521"/>
      <c r="R167" s="521"/>
      <c r="S167" s="521"/>
      <c r="T167" s="565">
        <v>0</v>
      </c>
      <c r="U167" s="523"/>
      <c r="V167" s="506"/>
    </row>
    <row r="168" spans="1:22" s="507" customFormat="1" x14ac:dyDescent="0.35">
      <c r="A168" s="520"/>
      <c r="B168" s="521" t="s">
        <v>55</v>
      </c>
      <c r="C168" s="521"/>
      <c r="D168" s="521"/>
      <c r="E168" s="521"/>
      <c r="F168" s="521"/>
      <c r="G168" s="521"/>
      <c r="H168" s="521"/>
      <c r="I168" s="521"/>
      <c r="J168" s="521"/>
      <c r="K168" s="521"/>
      <c r="L168" s="521"/>
      <c r="M168" s="521"/>
      <c r="N168" s="521"/>
      <c r="O168" s="521"/>
      <c r="P168" s="521"/>
      <c r="Q168" s="521"/>
      <c r="R168" s="521"/>
      <c r="S168" s="521"/>
      <c r="T168" s="565">
        <v>-45</v>
      </c>
      <c r="U168" s="523"/>
      <c r="V168" s="506"/>
    </row>
    <row r="169" spans="1:22" s="507" customFormat="1" x14ac:dyDescent="0.35">
      <c r="A169" s="520"/>
      <c r="B169" s="521" t="s">
        <v>56</v>
      </c>
      <c r="C169" s="521"/>
      <c r="D169" s="521"/>
      <c r="E169" s="521"/>
      <c r="F169" s="521"/>
      <c r="G169" s="521"/>
      <c r="H169" s="521"/>
      <c r="I169" s="521"/>
      <c r="J169" s="521"/>
      <c r="K169" s="521"/>
      <c r="L169" s="521"/>
      <c r="M169" s="521"/>
      <c r="N169" s="521"/>
      <c r="O169" s="521"/>
      <c r="P169" s="521"/>
      <c r="Q169" s="521"/>
      <c r="R169" s="521"/>
      <c r="S169" s="521"/>
      <c r="T169" s="565">
        <f>T168+T167</f>
        <v>-45</v>
      </c>
      <c r="U169" s="523"/>
      <c r="V169" s="506"/>
    </row>
    <row r="170" spans="1:22" s="507" customFormat="1" x14ac:dyDescent="0.35">
      <c r="A170" s="520"/>
      <c r="B170" s="521" t="s">
        <v>314</v>
      </c>
      <c r="C170" s="521"/>
      <c r="D170" s="521"/>
      <c r="E170" s="521"/>
      <c r="F170" s="521"/>
      <c r="G170" s="521"/>
      <c r="H170" s="521"/>
      <c r="I170" s="521"/>
      <c r="J170" s="521"/>
      <c r="K170" s="521"/>
      <c r="L170" s="521"/>
      <c r="M170" s="521"/>
      <c r="N170" s="521"/>
      <c r="O170" s="521"/>
      <c r="P170" s="521"/>
      <c r="Q170" s="521"/>
      <c r="R170" s="521"/>
      <c r="S170" s="521"/>
      <c r="T170" s="565">
        <f>T114</f>
        <v>45</v>
      </c>
      <c r="U170" s="523"/>
      <c r="V170" s="506"/>
    </row>
    <row r="171" spans="1:22" s="507" customFormat="1" x14ac:dyDescent="0.35">
      <c r="A171" s="520"/>
      <c r="B171" s="521" t="s">
        <v>57</v>
      </c>
      <c r="C171" s="521"/>
      <c r="D171" s="521"/>
      <c r="E171" s="521"/>
      <c r="F171" s="521"/>
      <c r="G171" s="521"/>
      <c r="H171" s="521"/>
      <c r="I171" s="521"/>
      <c r="J171" s="521"/>
      <c r="K171" s="521"/>
      <c r="L171" s="521"/>
      <c r="M171" s="521"/>
      <c r="N171" s="521"/>
      <c r="O171" s="521"/>
      <c r="P171" s="521"/>
      <c r="Q171" s="521"/>
      <c r="R171" s="521"/>
      <c r="S171" s="521"/>
      <c r="T171" s="565">
        <f>T169+T170</f>
        <v>0</v>
      </c>
      <c r="U171" s="523"/>
      <c r="V171" s="506"/>
    </row>
    <row r="172" spans="1:22" s="507" customFormat="1" x14ac:dyDescent="0.35">
      <c r="A172" s="520"/>
      <c r="B172" s="521" t="s">
        <v>285</v>
      </c>
      <c r="C172" s="521"/>
      <c r="D172" s="521"/>
      <c r="E172" s="521"/>
      <c r="F172" s="521"/>
      <c r="G172" s="521"/>
      <c r="H172" s="521"/>
      <c r="I172" s="521"/>
      <c r="J172" s="521"/>
      <c r="K172" s="521"/>
      <c r="L172" s="521"/>
      <c r="M172" s="521"/>
      <c r="N172" s="521"/>
      <c r="O172" s="521"/>
      <c r="P172" s="521"/>
      <c r="Q172" s="521"/>
      <c r="R172" s="521"/>
      <c r="S172" s="521"/>
      <c r="T172" s="565">
        <f>-T98</f>
        <v>183</v>
      </c>
      <c r="U172" s="523"/>
      <c r="V172" s="506"/>
    </row>
    <row r="173" spans="1:22" ht="16" thickBot="1" x14ac:dyDescent="0.4">
      <c r="A173" s="407"/>
      <c r="B173" s="427"/>
      <c r="C173" s="427"/>
      <c r="D173" s="427"/>
      <c r="E173" s="427"/>
      <c r="F173" s="427"/>
      <c r="G173" s="427"/>
      <c r="H173" s="427"/>
      <c r="I173" s="427"/>
      <c r="J173" s="427"/>
      <c r="K173" s="427"/>
      <c r="L173" s="427"/>
      <c r="M173" s="427"/>
      <c r="N173" s="427"/>
      <c r="O173" s="427"/>
      <c r="P173" s="427"/>
      <c r="Q173" s="427"/>
      <c r="R173" s="427"/>
      <c r="S173" s="427"/>
      <c r="T173" s="437"/>
      <c r="U173" s="427"/>
      <c r="V173" s="405"/>
    </row>
    <row r="174" spans="1:22" x14ac:dyDescent="0.35">
      <c r="A174" s="403"/>
      <c r="B174" s="404"/>
      <c r="C174" s="404"/>
      <c r="D174" s="404"/>
      <c r="E174" s="404"/>
      <c r="F174" s="404"/>
      <c r="G174" s="404"/>
      <c r="H174" s="404"/>
      <c r="I174" s="404"/>
      <c r="J174" s="404"/>
      <c r="K174" s="404"/>
      <c r="L174" s="404"/>
      <c r="M174" s="404"/>
      <c r="N174" s="404"/>
      <c r="O174" s="404"/>
      <c r="P174" s="404"/>
      <c r="Q174" s="404"/>
      <c r="R174" s="404"/>
      <c r="S174" s="404"/>
      <c r="T174" s="439"/>
      <c r="U174" s="404"/>
      <c r="V174" s="405"/>
    </row>
    <row r="175" spans="1:22" x14ac:dyDescent="0.35">
      <c r="A175" s="407"/>
      <c r="B175" s="480" t="s">
        <v>58</v>
      </c>
      <c r="C175" s="409"/>
      <c r="D175" s="409"/>
      <c r="E175" s="409"/>
      <c r="F175" s="409"/>
      <c r="G175" s="409"/>
      <c r="H175" s="409"/>
      <c r="I175" s="409"/>
      <c r="J175" s="409"/>
      <c r="K175" s="409"/>
      <c r="L175" s="409"/>
      <c r="M175" s="409"/>
      <c r="N175" s="409"/>
      <c r="O175" s="409"/>
      <c r="P175" s="409"/>
      <c r="Q175" s="409"/>
      <c r="R175" s="409"/>
      <c r="S175" s="409"/>
      <c r="T175" s="425"/>
      <c r="U175" s="409"/>
      <c r="V175" s="405"/>
    </row>
    <row r="176" spans="1:22" x14ac:dyDescent="0.35">
      <c r="A176" s="407"/>
      <c r="B176" s="436"/>
      <c r="C176" s="409"/>
      <c r="D176" s="409"/>
      <c r="E176" s="409"/>
      <c r="F176" s="409"/>
      <c r="G176" s="409"/>
      <c r="H176" s="409"/>
      <c r="I176" s="409"/>
      <c r="J176" s="409"/>
      <c r="K176" s="409"/>
      <c r="L176" s="409"/>
      <c r="M176" s="409"/>
      <c r="N176" s="409"/>
      <c r="O176" s="409"/>
      <c r="P176" s="409"/>
      <c r="Q176" s="409"/>
      <c r="R176" s="409"/>
      <c r="S176" s="409"/>
      <c r="T176" s="425"/>
      <c r="U176" s="409"/>
      <c r="V176" s="405"/>
    </row>
    <row r="177" spans="1:22" s="507" customFormat="1" x14ac:dyDescent="0.35">
      <c r="A177" s="520"/>
      <c r="B177" s="521" t="s">
        <v>59</v>
      </c>
      <c r="C177" s="521"/>
      <c r="D177" s="521"/>
      <c r="E177" s="521"/>
      <c r="F177" s="521"/>
      <c r="G177" s="521"/>
      <c r="H177" s="521"/>
      <c r="I177" s="521"/>
      <c r="J177" s="521"/>
      <c r="K177" s="521"/>
      <c r="L177" s="521"/>
      <c r="M177" s="521"/>
      <c r="N177" s="521"/>
      <c r="O177" s="521"/>
      <c r="P177" s="521"/>
      <c r="Q177" s="521"/>
      <c r="R177" s="521"/>
      <c r="S177" s="521"/>
      <c r="T177" s="565">
        <f>T70</f>
        <v>312455</v>
      </c>
      <c r="U177" s="523"/>
      <c r="V177" s="506"/>
    </row>
    <row r="178" spans="1:22" s="507" customFormat="1" x14ac:dyDescent="0.35">
      <c r="A178" s="520"/>
      <c r="B178" s="521" t="s">
        <v>60</v>
      </c>
      <c r="C178" s="521"/>
      <c r="D178" s="521"/>
      <c r="E178" s="521"/>
      <c r="F178" s="521"/>
      <c r="G178" s="521"/>
      <c r="H178" s="521"/>
      <c r="I178" s="521"/>
      <c r="J178" s="521"/>
      <c r="K178" s="521"/>
      <c r="L178" s="521"/>
      <c r="M178" s="521"/>
      <c r="N178" s="521"/>
      <c r="O178" s="521"/>
      <c r="P178" s="521"/>
      <c r="Q178" s="521"/>
      <c r="R178" s="521"/>
      <c r="S178" s="521"/>
      <c r="T178" s="565">
        <f>T83</f>
        <v>312455</v>
      </c>
      <c r="U178" s="523"/>
      <c r="V178" s="506"/>
    </row>
    <row r="179" spans="1:22" ht="16" thickBot="1" x14ac:dyDescent="0.4">
      <c r="A179" s="407"/>
      <c r="B179" s="427"/>
      <c r="C179" s="427"/>
      <c r="D179" s="427"/>
      <c r="E179" s="427"/>
      <c r="F179" s="427"/>
      <c r="G179" s="427"/>
      <c r="H179" s="427"/>
      <c r="I179" s="427"/>
      <c r="J179" s="427"/>
      <c r="K179" s="427"/>
      <c r="L179" s="427"/>
      <c r="M179" s="427"/>
      <c r="N179" s="427"/>
      <c r="O179" s="427"/>
      <c r="P179" s="427"/>
      <c r="Q179" s="427"/>
      <c r="R179" s="427"/>
      <c r="S179" s="427"/>
      <c r="T179" s="437"/>
      <c r="U179" s="427"/>
      <c r="V179" s="405"/>
    </row>
    <row r="180" spans="1:22" x14ac:dyDescent="0.35">
      <c r="A180" s="403"/>
      <c r="B180" s="404"/>
      <c r="C180" s="404"/>
      <c r="D180" s="404"/>
      <c r="E180" s="404"/>
      <c r="F180" s="404"/>
      <c r="G180" s="404"/>
      <c r="H180" s="404"/>
      <c r="I180" s="404"/>
      <c r="J180" s="404"/>
      <c r="K180" s="404"/>
      <c r="L180" s="404"/>
      <c r="M180" s="404"/>
      <c r="N180" s="404"/>
      <c r="O180" s="404"/>
      <c r="P180" s="404"/>
      <c r="Q180" s="404"/>
      <c r="R180" s="404"/>
      <c r="S180" s="404"/>
      <c r="T180" s="439"/>
      <c r="U180" s="404"/>
      <c r="V180" s="405"/>
    </row>
    <row r="181" spans="1:22" x14ac:dyDescent="0.35">
      <c r="A181" s="407"/>
      <c r="B181" s="480" t="s">
        <v>61</v>
      </c>
      <c r="C181" s="426"/>
      <c r="D181" s="426"/>
      <c r="E181" s="426"/>
      <c r="F181" s="426"/>
      <c r="G181" s="426"/>
      <c r="H181" s="440"/>
      <c r="I181" s="440"/>
      <c r="J181" s="440"/>
      <c r="K181" s="440"/>
      <c r="L181" s="440"/>
      <c r="M181" s="440"/>
      <c r="N181" s="440"/>
      <c r="O181" s="440"/>
      <c r="P181" s="440"/>
      <c r="Q181" s="481" t="s">
        <v>105</v>
      </c>
      <c r="R181" s="481" t="s">
        <v>187</v>
      </c>
      <c r="S181" s="411"/>
      <c r="T181" s="482" t="s">
        <v>121</v>
      </c>
      <c r="U181" s="441"/>
      <c r="V181" s="405"/>
    </row>
    <row r="182" spans="1:22" s="507" customFormat="1" x14ac:dyDescent="0.35">
      <c r="A182" s="520"/>
      <c r="B182" s="521" t="s">
        <v>62</v>
      </c>
      <c r="C182" s="521"/>
      <c r="D182" s="521"/>
      <c r="E182" s="521"/>
      <c r="F182" s="521"/>
      <c r="G182" s="521"/>
      <c r="H182" s="521"/>
      <c r="I182" s="521"/>
      <c r="J182" s="521"/>
      <c r="K182" s="521"/>
      <c r="L182" s="521"/>
      <c r="M182" s="521"/>
      <c r="N182" s="521"/>
      <c r="O182" s="521"/>
      <c r="P182" s="521"/>
      <c r="Q182" s="565">
        <f>+T34*0.16</f>
        <v>160056.48000000001</v>
      </c>
      <c r="R182" s="543"/>
      <c r="S182" s="521"/>
      <c r="T182" s="565"/>
      <c r="U182" s="523"/>
      <c r="V182" s="506"/>
    </row>
    <row r="183" spans="1:22" s="507" customFormat="1" x14ac:dyDescent="0.35">
      <c r="A183" s="520"/>
      <c r="B183" s="521" t="s">
        <v>63</v>
      </c>
      <c r="C183" s="521"/>
      <c r="D183" s="521"/>
      <c r="E183" s="521"/>
      <c r="F183" s="521"/>
      <c r="G183" s="521"/>
      <c r="H183" s="521"/>
      <c r="I183" s="521"/>
      <c r="J183" s="521"/>
      <c r="K183" s="521"/>
      <c r="L183" s="521"/>
      <c r="M183" s="521"/>
      <c r="N183" s="521"/>
      <c r="O183" s="521"/>
      <c r="P183" s="521"/>
      <c r="Q183" s="565">
        <f>+'Nov 19'!Q185</f>
        <v>47259</v>
      </c>
      <c r="R183" s="565">
        <f>+'Nov 19'!R185</f>
        <v>5998</v>
      </c>
      <c r="S183" s="521"/>
      <c r="T183" s="565">
        <f>Q183+R183</f>
        <v>53257</v>
      </c>
      <c r="U183" s="523"/>
      <c r="V183" s="506"/>
    </row>
    <row r="184" spans="1:22" s="507" customFormat="1" x14ac:dyDescent="0.35">
      <c r="A184" s="520"/>
      <c r="B184" s="521" t="s">
        <v>64</v>
      </c>
      <c r="C184" s="521"/>
      <c r="D184" s="521"/>
      <c r="E184" s="521"/>
      <c r="F184" s="521"/>
      <c r="G184" s="521"/>
      <c r="H184" s="521"/>
      <c r="I184" s="521"/>
      <c r="J184" s="521"/>
      <c r="K184" s="521"/>
      <c r="L184" s="521"/>
      <c r="M184" s="521"/>
      <c r="N184" s="521"/>
      <c r="O184" s="521"/>
      <c r="P184" s="521"/>
      <c r="Q184" s="564">
        <v>0</v>
      </c>
      <c r="R184" s="564">
        <v>0</v>
      </c>
      <c r="S184" s="521"/>
      <c r="T184" s="565">
        <f>Q184+R184</f>
        <v>0</v>
      </c>
      <c r="U184" s="523"/>
      <c r="V184" s="506"/>
    </row>
    <row r="185" spans="1:22" s="507" customFormat="1" x14ac:dyDescent="0.35">
      <c r="A185" s="520"/>
      <c r="B185" s="521" t="s">
        <v>65</v>
      </c>
      <c r="C185" s="521"/>
      <c r="D185" s="521"/>
      <c r="E185" s="521"/>
      <c r="F185" s="521"/>
      <c r="G185" s="521"/>
      <c r="H185" s="521"/>
      <c r="I185" s="521"/>
      <c r="J185" s="521"/>
      <c r="K185" s="521"/>
      <c r="L185" s="521"/>
      <c r="M185" s="521"/>
      <c r="N185" s="521"/>
      <c r="O185" s="521"/>
      <c r="P185" s="521"/>
      <c r="Q185" s="565">
        <f>Q183+Q184</f>
        <v>47259</v>
      </c>
      <c r="R185" s="565">
        <f>R184+R183</f>
        <v>5998</v>
      </c>
      <c r="S185" s="521"/>
      <c r="T185" s="565">
        <f>Q185+R185</f>
        <v>53257</v>
      </c>
      <c r="U185" s="523"/>
      <c r="V185" s="506"/>
    </row>
    <row r="186" spans="1:22" s="507" customFormat="1" x14ac:dyDescent="0.35">
      <c r="A186" s="520"/>
      <c r="B186" s="521" t="s">
        <v>66</v>
      </c>
      <c r="C186" s="521"/>
      <c r="D186" s="521"/>
      <c r="E186" s="521"/>
      <c r="F186" s="521"/>
      <c r="G186" s="521"/>
      <c r="H186" s="521"/>
      <c r="I186" s="521"/>
      <c r="J186" s="521"/>
      <c r="K186" s="521"/>
      <c r="L186" s="521"/>
      <c r="M186" s="521"/>
      <c r="N186" s="521"/>
      <c r="O186" s="521"/>
      <c r="P186" s="521"/>
      <c r="Q186" s="565">
        <f>Q182-Q185-R185</f>
        <v>106799.48000000001</v>
      </c>
      <c r="R186" s="543"/>
      <c r="S186" s="521"/>
      <c r="T186" s="565"/>
      <c r="U186" s="523"/>
      <c r="V186" s="506"/>
    </row>
    <row r="187" spans="1:22" ht="16" thickBot="1" x14ac:dyDescent="0.4">
      <c r="A187" s="407"/>
      <c r="B187" s="427"/>
      <c r="C187" s="427"/>
      <c r="D187" s="427"/>
      <c r="E187" s="427"/>
      <c r="F187" s="427"/>
      <c r="G187" s="427"/>
      <c r="H187" s="427"/>
      <c r="I187" s="427"/>
      <c r="J187" s="427"/>
      <c r="K187" s="427"/>
      <c r="L187" s="427"/>
      <c r="M187" s="427"/>
      <c r="N187" s="427"/>
      <c r="O187" s="427"/>
      <c r="P187" s="427"/>
      <c r="Q187" s="427"/>
      <c r="R187" s="427"/>
      <c r="S187" s="427"/>
      <c r="T187" s="437"/>
      <c r="U187" s="427"/>
      <c r="V187" s="405"/>
    </row>
    <row r="188" spans="1:22" x14ac:dyDescent="0.35">
      <c r="A188" s="403"/>
      <c r="B188" s="404"/>
      <c r="C188" s="404"/>
      <c r="D188" s="404"/>
      <c r="E188" s="404"/>
      <c r="F188" s="404"/>
      <c r="G188" s="404"/>
      <c r="H188" s="404"/>
      <c r="I188" s="404"/>
      <c r="J188" s="404"/>
      <c r="K188" s="404"/>
      <c r="L188" s="404"/>
      <c r="M188" s="404"/>
      <c r="N188" s="404"/>
      <c r="O188" s="404"/>
      <c r="P188" s="404"/>
      <c r="Q188" s="404"/>
      <c r="R188" s="404"/>
      <c r="S188" s="404"/>
      <c r="T188" s="439"/>
      <c r="U188" s="404"/>
      <c r="V188" s="405"/>
    </row>
    <row r="189" spans="1:22" x14ac:dyDescent="0.35">
      <c r="A189" s="407"/>
      <c r="B189" s="480" t="s">
        <v>67</v>
      </c>
      <c r="C189" s="409"/>
      <c r="D189" s="409"/>
      <c r="E189" s="409"/>
      <c r="F189" s="409"/>
      <c r="G189" s="409"/>
      <c r="H189" s="409"/>
      <c r="I189" s="409"/>
      <c r="J189" s="409"/>
      <c r="K189" s="409"/>
      <c r="L189" s="409"/>
      <c r="M189" s="409"/>
      <c r="N189" s="409"/>
      <c r="O189" s="409"/>
      <c r="P189" s="409"/>
      <c r="Q189" s="409"/>
      <c r="R189" s="409"/>
      <c r="S189" s="409"/>
      <c r="T189" s="442"/>
      <c r="U189" s="409"/>
      <c r="V189" s="405"/>
    </row>
    <row r="190" spans="1:22" s="507" customFormat="1" x14ac:dyDescent="0.35">
      <c r="A190" s="520"/>
      <c r="B190" s="521" t="s">
        <v>68</v>
      </c>
      <c r="C190" s="521"/>
      <c r="D190" s="521"/>
      <c r="E190" s="521"/>
      <c r="F190" s="521"/>
      <c r="G190" s="521"/>
      <c r="H190" s="521"/>
      <c r="I190" s="521"/>
      <c r="J190" s="521"/>
      <c r="K190" s="521"/>
      <c r="L190" s="521"/>
      <c r="M190" s="521"/>
      <c r="N190" s="521"/>
      <c r="O190" s="521"/>
      <c r="P190" s="521"/>
      <c r="Q190" s="521"/>
      <c r="R190" s="521"/>
      <c r="S190" s="521"/>
      <c r="T190" s="574">
        <f>(T99+T101+T102+T103+T104+T105)/-(T106+T107)</f>
        <v>2.6325648414985592</v>
      </c>
      <c r="U190" s="523" t="s">
        <v>122</v>
      </c>
      <c r="V190" s="506"/>
    </row>
    <row r="191" spans="1:22" s="507" customFormat="1" x14ac:dyDescent="0.35">
      <c r="A191" s="520"/>
      <c r="B191" s="521" t="s">
        <v>69</v>
      </c>
      <c r="C191" s="521"/>
      <c r="D191" s="521"/>
      <c r="E191" s="521"/>
      <c r="F191" s="521"/>
      <c r="G191" s="521"/>
      <c r="H191" s="521"/>
      <c r="I191" s="521"/>
      <c r="J191" s="521"/>
      <c r="K191" s="521"/>
      <c r="L191" s="521"/>
      <c r="M191" s="521"/>
      <c r="N191" s="521"/>
      <c r="O191" s="521"/>
      <c r="P191" s="521"/>
      <c r="Q191" s="521"/>
      <c r="R191" s="521"/>
      <c r="S191" s="521"/>
      <c r="T191" s="575">
        <v>1.82</v>
      </c>
      <c r="U191" s="523" t="s">
        <v>122</v>
      </c>
      <c r="V191" s="506"/>
    </row>
    <row r="192" spans="1:22" s="507" customFormat="1" x14ac:dyDescent="0.35">
      <c r="A192" s="520"/>
      <c r="B192" s="521" t="s">
        <v>70</v>
      </c>
      <c r="C192" s="521"/>
      <c r="D192" s="521"/>
      <c r="E192" s="521"/>
      <c r="F192" s="521"/>
      <c r="G192" s="521"/>
      <c r="H192" s="521"/>
      <c r="I192" s="521"/>
      <c r="J192" s="521"/>
      <c r="K192" s="521"/>
      <c r="L192" s="521"/>
      <c r="M192" s="521"/>
      <c r="N192" s="521"/>
      <c r="O192" s="521"/>
      <c r="P192" s="521"/>
      <c r="Q192" s="521"/>
      <c r="R192" s="521"/>
      <c r="S192" s="521"/>
      <c r="T192" s="574">
        <f>(T99+T101+T102+T103+T104+T105+T106+T107)/-(T108+T109)</f>
        <v>12.053191489361701</v>
      </c>
      <c r="U192" s="523" t="s">
        <v>122</v>
      </c>
      <c r="V192" s="506"/>
    </row>
    <row r="193" spans="1:22" s="507" customFormat="1" x14ac:dyDescent="0.35">
      <c r="A193" s="520"/>
      <c r="B193" s="521" t="s">
        <v>71</v>
      </c>
      <c r="C193" s="521"/>
      <c r="D193" s="521"/>
      <c r="E193" s="521"/>
      <c r="F193" s="521"/>
      <c r="G193" s="521"/>
      <c r="H193" s="521"/>
      <c r="I193" s="521"/>
      <c r="J193" s="521"/>
      <c r="K193" s="521"/>
      <c r="L193" s="521"/>
      <c r="M193" s="521"/>
      <c r="N193" s="521"/>
      <c r="O193" s="521"/>
      <c r="P193" s="521"/>
      <c r="Q193" s="521"/>
      <c r="R193" s="521"/>
      <c r="S193" s="521"/>
      <c r="T193" s="575">
        <v>9.9700000000000006</v>
      </c>
      <c r="U193" s="523" t="s">
        <v>122</v>
      </c>
      <c r="V193" s="506"/>
    </row>
    <row r="194" spans="1:22" s="507" customFormat="1" x14ac:dyDescent="0.35">
      <c r="A194" s="520"/>
      <c r="B194" s="521" t="s">
        <v>232</v>
      </c>
      <c r="C194" s="521"/>
      <c r="D194" s="521"/>
      <c r="E194" s="521"/>
      <c r="F194" s="521"/>
      <c r="G194" s="521"/>
      <c r="H194" s="521"/>
      <c r="I194" s="521"/>
      <c r="J194" s="521"/>
      <c r="K194" s="521"/>
      <c r="L194" s="521"/>
      <c r="M194" s="521"/>
      <c r="N194" s="521"/>
      <c r="O194" s="521"/>
      <c r="P194" s="521"/>
      <c r="Q194" s="521"/>
      <c r="R194" s="521"/>
      <c r="S194" s="521"/>
      <c r="T194" s="574">
        <f>(T99+T101+T102+T103+T104+T105+T106+T107+T108+T109)/-(T110+T111)</f>
        <v>4.8779342723004691</v>
      </c>
      <c r="U194" s="523" t="s">
        <v>122</v>
      </c>
      <c r="V194" s="506"/>
    </row>
    <row r="195" spans="1:22" s="507" customFormat="1" x14ac:dyDescent="0.35">
      <c r="A195" s="520"/>
      <c r="B195" s="521" t="s">
        <v>233</v>
      </c>
      <c r="C195" s="521"/>
      <c r="D195" s="521"/>
      <c r="E195" s="521"/>
      <c r="F195" s="521"/>
      <c r="G195" s="521"/>
      <c r="H195" s="521"/>
      <c r="I195" s="521"/>
      <c r="J195" s="521"/>
      <c r="K195" s="521"/>
      <c r="L195" s="521"/>
      <c r="M195" s="521"/>
      <c r="N195" s="521"/>
      <c r="O195" s="521"/>
      <c r="P195" s="521"/>
      <c r="Q195" s="521"/>
      <c r="R195" s="521"/>
      <c r="S195" s="521"/>
      <c r="T195" s="575">
        <v>4.74</v>
      </c>
      <c r="U195" s="523" t="s">
        <v>122</v>
      </c>
      <c r="V195" s="506"/>
    </row>
    <row r="196" spans="1:22" s="507" customFormat="1" x14ac:dyDescent="0.35">
      <c r="A196" s="520"/>
      <c r="B196" s="521"/>
      <c r="C196" s="521"/>
      <c r="D196" s="521"/>
      <c r="E196" s="521"/>
      <c r="F196" s="521"/>
      <c r="G196" s="521"/>
      <c r="H196" s="521"/>
      <c r="I196" s="521"/>
      <c r="J196" s="521"/>
      <c r="K196" s="521"/>
      <c r="L196" s="521"/>
      <c r="M196" s="521"/>
      <c r="N196" s="521"/>
      <c r="O196" s="521"/>
      <c r="P196" s="521"/>
      <c r="Q196" s="521"/>
      <c r="R196" s="521"/>
      <c r="S196" s="521"/>
      <c r="T196" s="521"/>
      <c r="U196" s="523"/>
      <c r="V196" s="506"/>
    </row>
    <row r="197" spans="1:22" s="507" customFormat="1" x14ac:dyDescent="0.35">
      <c r="A197" s="508"/>
      <c r="B197" s="554"/>
      <c r="C197" s="554"/>
      <c r="D197" s="554"/>
      <c r="E197" s="554"/>
      <c r="F197" s="554"/>
      <c r="G197" s="554"/>
      <c r="H197" s="554"/>
      <c r="I197" s="554"/>
      <c r="J197" s="554"/>
      <c r="K197" s="554"/>
      <c r="L197" s="554"/>
      <c r="M197" s="554"/>
      <c r="N197" s="554"/>
      <c r="O197" s="554"/>
      <c r="P197" s="554"/>
      <c r="Q197" s="554"/>
      <c r="R197" s="554"/>
      <c r="S197" s="554"/>
      <c r="T197" s="554"/>
      <c r="U197" s="554"/>
      <c r="V197" s="506"/>
    </row>
    <row r="198" spans="1:22" s="507" customFormat="1" x14ac:dyDescent="0.35">
      <c r="A198" s="508"/>
      <c r="B198" s="509"/>
      <c r="C198" s="509"/>
      <c r="D198" s="509"/>
      <c r="E198" s="509"/>
      <c r="F198" s="509"/>
      <c r="G198" s="509"/>
      <c r="H198" s="509"/>
      <c r="I198" s="509"/>
      <c r="J198" s="509"/>
      <c r="K198" s="509"/>
      <c r="L198" s="509"/>
      <c r="M198" s="509"/>
      <c r="N198" s="509"/>
      <c r="O198" s="509"/>
      <c r="P198" s="509"/>
      <c r="Q198" s="509"/>
      <c r="R198" s="509"/>
      <c r="S198" s="509"/>
      <c r="T198" s="509"/>
      <c r="U198" s="509"/>
      <c r="V198" s="506"/>
    </row>
    <row r="199" spans="1:22" s="507" customFormat="1" ht="19" thickBot="1" x14ac:dyDescent="0.5">
      <c r="A199" s="559"/>
      <c r="B199" s="560" t="str">
        <f>B138</f>
        <v>PM10 INVESTOR REPORT QUARTER ENDING FEBRUARY 2020</v>
      </c>
      <c r="C199" s="561"/>
      <c r="D199" s="561"/>
      <c r="E199" s="561"/>
      <c r="F199" s="561"/>
      <c r="G199" s="561"/>
      <c r="H199" s="561"/>
      <c r="I199" s="561"/>
      <c r="J199" s="561"/>
      <c r="K199" s="561"/>
      <c r="L199" s="561"/>
      <c r="M199" s="561"/>
      <c r="N199" s="561"/>
      <c r="O199" s="561"/>
      <c r="P199" s="561"/>
      <c r="Q199" s="561"/>
      <c r="R199" s="561"/>
      <c r="S199" s="561"/>
      <c r="T199" s="561"/>
      <c r="U199" s="563"/>
      <c r="V199" s="506"/>
    </row>
    <row r="200" spans="1:22" x14ac:dyDescent="0.35">
      <c r="A200" s="615"/>
      <c r="B200" s="616" t="s">
        <v>72</v>
      </c>
      <c r="C200" s="619"/>
      <c r="D200" s="619"/>
      <c r="E200" s="619"/>
      <c r="F200" s="619"/>
      <c r="G200" s="620"/>
      <c r="H200" s="620"/>
      <c r="I200" s="620"/>
      <c r="J200" s="620"/>
      <c r="K200" s="620"/>
      <c r="L200" s="620"/>
      <c r="M200" s="620"/>
      <c r="N200" s="620"/>
      <c r="O200" s="620"/>
      <c r="P200" s="620"/>
      <c r="Q200" s="620"/>
      <c r="R200" s="620">
        <v>43889</v>
      </c>
      <c r="S200" s="617"/>
      <c r="T200" s="617"/>
      <c r="U200" s="617"/>
      <c r="V200" s="405"/>
    </row>
    <row r="201" spans="1:22" x14ac:dyDescent="0.35">
      <c r="A201" s="443"/>
      <c r="B201" s="444"/>
      <c r="C201" s="445"/>
      <c r="D201" s="445"/>
      <c r="E201" s="445"/>
      <c r="F201" s="445"/>
      <c r="G201" s="446"/>
      <c r="H201" s="446"/>
      <c r="I201" s="446"/>
      <c r="J201" s="446"/>
      <c r="K201" s="446"/>
      <c r="L201" s="446"/>
      <c r="M201" s="446"/>
      <c r="N201" s="446"/>
      <c r="O201" s="446"/>
      <c r="P201" s="446"/>
      <c r="Q201" s="446"/>
      <c r="R201" s="446"/>
      <c r="S201" s="409"/>
      <c r="T201" s="409"/>
      <c r="U201" s="409"/>
      <c r="V201" s="405"/>
    </row>
    <row r="202" spans="1:22" s="507" customFormat="1" x14ac:dyDescent="0.35">
      <c r="A202" s="520"/>
      <c r="B202" s="521" t="s">
        <v>73</v>
      </c>
      <c r="C202" s="576"/>
      <c r="D202" s="576"/>
      <c r="E202" s="576"/>
      <c r="F202" s="576"/>
      <c r="G202" s="548"/>
      <c r="H202" s="548"/>
      <c r="I202" s="548"/>
      <c r="J202" s="548"/>
      <c r="K202" s="548"/>
      <c r="L202" s="548"/>
      <c r="M202" s="548"/>
      <c r="N202" s="548"/>
      <c r="O202" s="548"/>
      <c r="P202" s="548"/>
      <c r="Q202" s="548"/>
      <c r="R202" s="540">
        <v>5.3960000000000001E-2</v>
      </c>
      <c r="S202" s="521"/>
      <c r="T202" s="521"/>
      <c r="U202" s="523"/>
      <c r="V202" s="506"/>
    </row>
    <row r="203" spans="1:22" s="507" customFormat="1" x14ac:dyDescent="0.35">
      <c r="A203" s="520"/>
      <c r="B203" s="521" t="s">
        <v>159</v>
      </c>
      <c r="C203" s="576"/>
      <c r="D203" s="576"/>
      <c r="E203" s="576"/>
      <c r="F203" s="576"/>
      <c r="G203" s="548"/>
      <c r="H203" s="548"/>
      <c r="I203" s="548"/>
      <c r="J203" s="548"/>
      <c r="K203" s="548"/>
      <c r="L203" s="548"/>
      <c r="M203" s="548"/>
      <c r="N203" s="548"/>
      <c r="O203" s="548"/>
      <c r="P203" s="548"/>
      <c r="Q203" s="548"/>
      <c r="R203" s="540">
        <v>4.7399999999999998E-2</v>
      </c>
      <c r="S203" s="521"/>
      <c r="T203" s="521"/>
      <c r="U203" s="523"/>
      <c r="V203" s="506"/>
    </row>
    <row r="204" spans="1:22" s="507" customFormat="1" x14ac:dyDescent="0.35">
      <c r="A204" s="520"/>
      <c r="B204" s="521" t="s">
        <v>74</v>
      </c>
      <c r="C204" s="576"/>
      <c r="D204" s="576"/>
      <c r="E204" s="576"/>
      <c r="F204" s="576"/>
      <c r="G204" s="548"/>
      <c r="H204" s="548"/>
      <c r="I204" s="548"/>
      <c r="J204" s="548"/>
      <c r="K204" s="548"/>
      <c r="L204" s="548"/>
      <c r="M204" s="548"/>
      <c r="N204" s="548"/>
      <c r="O204" s="548"/>
      <c r="P204" s="548"/>
      <c r="Q204" s="548"/>
      <c r="R204" s="540">
        <f>R202-R203</f>
        <v>6.5600000000000033E-3</v>
      </c>
      <c r="S204" s="521"/>
      <c r="T204" s="521"/>
      <c r="U204" s="523"/>
      <c r="V204" s="506"/>
    </row>
    <row r="205" spans="1:22" s="507" customFormat="1" x14ac:dyDescent="0.35">
      <c r="A205" s="520"/>
      <c r="B205" s="521" t="s">
        <v>75</v>
      </c>
      <c r="C205" s="576"/>
      <c r="D205" s="576"/>
      <c r="E205" s="576"/>
      <c r="F205" s="576"/>
      <c r="G205" s="548"/>
      <c r="H205" s="548"/>
      <c r="I205" s="548"/>
      <c r="J205" s="548"/>
      <c r="K205" s="548"/>
      <c r="L205" s="548"/>
      <c r="M205" s="548"/>
      <c r="N205" s="548"/>
      <c r="O205" s="548"/>
      <c r="P205" s="548"/>
      <c r="Q205" s="548"/>
      <c r="R205" s="540">
        <v>2.4989999999999998E-2</v>
      </c>
      <c r="S205" s="521"/>
      <c r="T205" s="521"/>
      <c r="U205" s="523"/>
      <c r="V205" s="506"/>
    </row>
    <row r="206" spans="1:22" s="507" customFormat="1" x14ac:dyDescent="0.35">
      <c r="A206" s="520"/>
      <c r="B206" s="521" t="s">
        <v>262</v>
      </c>
      <c r="C206" s="576"/>
      <c r="D206" s="576"/>
      <c r="E206" s="576"/>
      <c r="F206" s="576"/>
      <c r="G206" s="548"/>
      <c r="H206" s="548"/>
      <c r="I206" s="548"/>
      <c r="J206" s="548"/>
      <c r="K206" s="548"/>
      <c r="L206" s="548"/>
      <c r="M206" s="548"/>
      <c r="N206" s="548"/>
      <c r="O206" s="548"/>
      <c r="P206" s="548"/>
      <c r="Q206" s="548"/>
      <c r="R206" s="540">
        <f>T43</f>
        <v>1.2734510852440178E-2</v>
      </c>
      <c r="S206" s="521"/>
      <c r="T206" s="521"/>
      <c r="U206" s="523"/>
      <c r="V206" s="506"/>
    </row>
    <row r="207" spans="1:22" s="507" customFormat="1" x14ac:dyDescent="0.35">
      <c r="A207" s="520"/>
      <c r="B207" s="521" t="s">
        <v>76</v>
      </c>
      <c r="C207" s="576"/>
      <c r="D207" s="576"/>
      <c r="E207" s="576"/>
      <c r="F207" s="576"/>
      <c r="G207" s="548"/>
      <c r="H207" s="548"/>
      <c r="I207" s="548"/>
      <c r="J207" s="548"/>
      <c r="K207" s="548"/>
      <c r="L207" s="548"/>
      <c r="M207" s="548"/>
      <c r="N207" s="548"/>
      <c r="O207" s="548"/>
      <c r="P207" s="548"/>
      <c r="Q207" s="548"/>
      <c r="R207" s="540">
        <f>R205-R206</f>
        <v>1.225548914755982E-2</v>
      </c>
      <c r="S207" s="521"/>
      <c r="T207" s="521"/>
      <c r="U207" s="523"/>
      <c r="V207" s="506"/>
    </row>
    <row r="208" spans="1:22" s="507" customFormat="1" x14ac:dyDescent="0.35">
      <c r="A208" s="520"/>
      <c r="B208" s="521" t="s">
        <v>269</v>
      </c>
      <c r="C208" s="576"/>
      <c r="D208" s="576"/>
      <c r="E208" s="576"/>
      <c r="F208" s="576"/>
      <c r="G208" s="548"/>
      <c r="H208" s="548"/>
      <c r="I208" s="548"/>
      <c r="J208" s="548"/>
      <c r="K208" s="548"/>
      <c r="L208" s="548"/>
      <c r="M208" s="548"/>
      <c r="N208" s="548"/>
      <c r="O208" s="548"/>
      <c r="P208" s="548"/>
      <c r="Q208" s="548"/>
      <c r="R208" s="540">
        <f>+T99/L67</f>
        <v>6.4649574598830539E-3</v>
      </c>
      <c r="S208" s="521"/>
      <c r="T208" s="521"/>
      <c r="U208" s="523"/>
      <c r="V208" s="506"/>
    </row>
    <row r="209" spans="1:22" s="507" customFormat="1" x14ac:dyDescent="0.35">
      <c r="A209" s="520"/>
      <c r="B209" s="521" t="s">
        <v>251</v>
      </c>
      <c r="C209" s="576"/>
      <c r="D209" s="576"/>
      <c r="E209" s="576"/>
      <c r="F209" s="576"/>
      <c r="G209" s="548"/>
      <c r="H209" s="548"/>
      <c r="I209" s="548"/>
      <c r="J209" s="548"/>
      <c r="K209" s="548"/>
      <c r="L209" s="548"/>
      <c r="M209" s="548"/>
      <c r="N209" s="548"/>
      <c r="O209" s="548"/>
      <c r="P209" s="548"/>
      <c r="Q209" s="548"/>
      <c r="R209" s="577">
        <v>51653</v>
      </c>
      <c r="S209" s="521"/>
      <c r="T209" s="521"/>
      <c r="U209" s="523"/>
      <c r="V209" s="506"/>
    </row>
    <row r="210" spans="1:22" s="507" customFormat="1" x14ac:dyDescent="0.35">
      <c r="A210" s="520"/>
      <c r="B210" s="521" t="s">
        <v>252</v>
      </c>
      <c r="C210" s="576"/>
      <c r="D210" s="576"/>
      <c r="E210" s="576"/>
      <c r="F210" s="576"/>
      <c r="G210" s="548"/>
      <c r="H210" s="548"/>
      <c r="I210" s="548"/>
      <c r="J210" s="548"/>
      <c r="K210" s="548"/>
      <c r="L210" s="548"/>
      <c r="M210" s="548"/>
      <c r="N210" s="548"/>
      <c r="O210" s="548"/>
      <c r="P210" s="548"/>
      <c r="Q210" s="548"/>
      <c r="R210" s="577">
        <v>51653</v>
      </c>
      <c r="S210" s="521"/>
      <c r="T210" s="521"/>
      <c r="U210" s="523"/>
      <c r="V210" s="506"/>
    </row>
    <row r="211" spans="1:22" s="507" customFormat="1" x14ac:dyDescent="0.35">
      <c r="A211" s="520"/>
      <c r="B211" s="521" t="s">
        <v>253</v>
      </c>
      <c r="C211" s="576"/>
      <c r="D211" s="576"/>
      <c r="E211" s="576"/>
      <c r="F211" s="576"/>
      <c r="G211" s="548"/>
      <c r="H211" s="548"/>
      <c r="I211" s="548"/>
      <c r="J211" s="548"/>
      <c r="K211" s="548"/>
      <c r="L211" s="548"/>
      <c r="M211" s="548"/>
      <c r="N211" s="548"/>
      <c r="O211" s="548"/>
      <c r="P211" s="548"/>
      <c r="Q211" s="548"/>
      <c r="R211" s="577">
        <v>51653</v>
      </c>
      <c r="S211" s="521"/>
      <c r="T211" s="521"/>
      <c r="U211" s="523"/>
      <c r="V211" s="506"/>
    </row>
    <row r="212" spans="1:22" s="507" customFormat="1" x14ac:dyDescent="0.35">
      <c r="A212" s="520"/>
      <c r="B212" s="521" t="s">
        <v>77</v>
      </c>
      <c r="C212" s="576"/>
      <c r="D212" s="576"/>
      <c r="E212" s="576"/>
      <c r="F212" s="576"/>
      <c r="G212" s="548"/>
      <c r="H212" s="548"/>
      <c r="I212" s="548"/>
      <c r="J212" s="548"/>
      <c r="K212" s="548"/>
      <c r="L212" s="548"/>
      <c r="M212" s="548"/>
      <c r="N212" s="548"/>
      <c r="O212" s="548"/>
      <c r="P212" s="548"/>
      <c r="Q212" s="548"/>
      <c r="R212" s="546">
        <v>21.48</v>
      </c>
      <c r="S212" s="521" t="s">
        <v>117</v>
      </c>
      <c r="T212" s="521"/>
      <c r="U212" s="523"/>
      <c r="V212" s="506"/>
    </row>
    <row r="213" spans="1:22" s="507" customFormat="1" x14ac:dyDescent="0.35">
      <c r="A213" s="520"/>
      <c r="B213" s="521" t="s">
        <v>78</v>
      </c>
      <c r="C213" s="576"/>
      <c r="D213" s="576"/>
      <c r="E213" s="576"/>
      <c r="F213" s="576"/>
      <c r="G213" s="548"/>
      <c r="H213" s="548"/>
      <c r="I213" s="548"/>
      <c r="J213" s="548"/>
      <c r="K213" s="548"/>
      <c r="L213" s="548"/>
      <c r="M213" s="548"/>
      <c r="N213" s="548"/>
      <c r="O213" s="548"/>
      <c r="P213" s="548"/>
      <c r="Q213" s="548"/>
      <c r="R213" s="546">
        <v>8.43</v>
      </c>
      <c r="S213" s="521" t="s">
        <v>117</v>
      </c>
      <c r="T213" s="521"/>
      <c r="U213" s="523"/>
      <c r="V213" s="506"/>
    </row>
    <row r="214" spans="1:22" s="507" customFormat="1" x14ac:dyDescent="0.35">
      <c r="A214" s="520"/>
      <c r="B214" s="521" t="s">
        <v>79</v>
      </c>
      <c r="C214" s="576"/>
      <c r="D214" s="576"/>
      <c r="E214" s="576"/>
      <c r="F214" s="576"/>
      <c r="G214" s="548"/>
      <c r="H214" s="548"/>
      <c r="I214" s="548"/>
      <c r="J214" s="548"/>
      <c r="K214" s="548"/>
      <c r="L214" s="548"/>
      <c r="M214" s="548"/>
      <c r="N214" s="548"/>
      <c r="O214" s="548"/>
      <c r="P214" s="548"/>
      <c r="Q214" s="548"/>
      <c r="R214" s="540">
        <f>+N67/L67</f>
        <v>1.0285015615992297E-2</v>
      </c>
      <c r="S214" s="521"/>
      <c r="T214" s="521"/>
      <c r="U214" s="523"/>
      <c r="V214" s="506"/>
    </row>
    <row r="215" spans="1:22" s="507" customFormat="1" x14ac:dyDescent="0.35">
      <c r="A215" s="520"/>
      <c r="B215" s="521" t="s">
        <v>80</v>
      </c>
      <c r="C215" s="576"/>
      <c r="D215" s="576"/>
      <c r="E215" s="576"/>
      <c r="F215" s="576"/>
      <c r="G215" s="548"/>
      <c r="H215" s="548"/>
      <c r="I215" s="548"/>
      <c r="J215" s="548"/>
      <c r="K215" s="548"/>
      <c r="L215" s="548"/>
      <c r="M215" s="548"/>
      <c r="N215" s="548"/>
      <c r="O215" s="548"/>
      <c r="P215" s="548"/>
      <c r="Q215" s="548"/>
      <c r="R215" s="540">
        <v>8.2400000000000001E-2</v>
      </c>
      <c r="S215" s="521"/>
      <c r="T215" s="521"/>
      <c r="U215" s="523"/>
      <c r="V215" s="506"/>
    </row>
    <row r="216" spans="1:22" x14ac:dyDescent="0.35">
      <c r="A216" s="443"/>
      <c r="B216" s="423"/>
      <c r="C216" s="423"/>
      <c r="D216" s="423"/>
      <c r="E216" s="423"/>
      <c r="F216" s="423"/>
      <c r="G216" s="423"/>
      <c r="H216" s="423"/>
      <c r="I216" s="423"/>
      <c r="J216" s="423"/>
      <c r="K216" s="423"/>
      <c r="L216" s="423"/>
      <c r="M216" s="423"/>
      <c r="N216" s="423"/>
      <c r="O216" s="423"/>
      <c r="P216" s="423"/>
      <c r="Q216" s="423"/>
      <c r="R216" s="447"/>
      <c r="S216" s="423"/>
      <c r="T216" s="448"/>
      <c r="U216" s="423"/>
      <c r="V216" s="405"/>
    </row>
    <row r="217" spans="1:22" x14ac:dyDescent="0.35">
      <c r="A217" s="621"/>
      <c r="B217" s="610" t="s">
        <v>81</v>
      </c>
      <c r="C217" s="611"/>
      <c r="D217" s="611"/>
      <c r="E217" s="611"/>
      <c r="F217" s="627"/>
      <c r="G217" s="611"/>
      <c r="H217" s="611"/>
      <c r="I217" s="611"/>
      <c r="J217" s="611"/>
      <c r="K217" s="611"/>
      <c r="L217" s="611"/>
      <c r="M217" s="611"/>
      <c r="N217" s="611"/>
      <c r="O217" s="611"/>
      <c r="P217" s="611"/>
      <c r="Q217" s="611" t="s">
        <v>106</v>
      </c>
      <c r="R217" s="627" t="s">
        <v>113</v>
      </c>
      <c r="S217" s="628"/>
      <c r="T217" s="628"/>
      <c r="U217" s="614"/>
      <c r="V217" s="405"/>
    </row>
    <row r="218" spans="1:22" s="507" customFormat="1" x14ac:dyDescent="0.35">
      <c r="A218" s="622"/>
      <c r="B218" s="554" t="s">
        <v>82</v>
      </c>
      <c r="C218" s="571"/>
      <c r="D218" s="571"/>
      <c r="E218" s="571"/>
      <c r="F218" s="554"/>
      <c r="G218" s="554"/>
      <c r="H218" s="623"/>
      <c r="I218" s="623"/>
      <c r="J218" s="623"/>
      <c r="K218" s="623"/>
      <c r="L218" s="623"/>
      <c r="M218" s="623"/>
      <c r="N218" s="623"/>
      <c r="O218" s="623"/>
      <c r="P218" s="623"/>
      <c r="Q218" s="623">
        <v>0</v>
      </c>
      <c r="R218" s="624">
        <v>0</v>
      </c>
      <c r="S218" s="554"/>
      <c r="T218" s="625"/>
      <c r="U218" s="626"/>
      <c r="V218" s="506"/>
    </row>
    <row r="219" spans="1:22" s="507" customFormat="1" x14ac:dyDescent="0.35">
      <c r="A219" s="578"/>
      <c r="B219" s="521" t="s">
        <v>152</v>
      </c>
      <c r="C219" s="564"/>
      <c r="D219" s="564"/>
      <c r="E219" s="564"/>
      <c r="F219" s="521"/>
      <c r="G219" s="521"/>
      <c r="H219" s="527"/>
      <c r="I219" s="527"/>
      <c r="J219" s="527"/>
      <c r="K219" s="527"/>
      <c r="L219" s="527"/>
      <c r="M219" s="527"/>
      <c r="N219" s="527"/>
      <c r="O219" s="527"/>
      <c r="P219" s="527"/>
      <c r="Q219" s="579">
        <f>+P271</f>
        <v>54</v>
      </c>
      <c r="R219" s="580">
        <f>+R271</f>
        <v>7780</v>
      </c>
      <c r="S219" s="521"/>
      <c r="T219" s="581"/>
      <c r="U219" s="582"/>
      <c r="V219" s="506"/>
    </row>
    <row r="220" spans="1:22" s="507" customFormat="1" x14ac:dyDescent="0.35">
      <c r="A220" s="578"/>
      <c r="B220" s="521" t="s">
        <v>83</v>
      </c>
      <c r="C220" s="564"/>
      <c r="D220" s="564"/>
      <c r="E220" s="564"/>
      <c r="F220" s="521"/>
      <c r="G220" s="521"/>
      <c r="H220" s="527"/>
      <c r="I220" s="527"/>
      <c r="J220" s="527"/>
      <c r="K220" s="527"/>
      <c r="L220" s="527"/>
      <c r="M220" s="527"/>
      <c r="N220" s="527"/>
      <c r="O220" s="527"/>
      <c r="P220" s="527"/>
      <c r="Q220" s="527">
        <v>0</v>
      </c>
      <c r="R220" s="580">
        <v>0</v>
      </c>
      <c r="S220" s="521"/>
      <c r="T220" s="581"/>
      <c r="U220" s="582"/>
      <c r="V220" s="506"/>
    </row>
    <row r="221" spans="1:22" x14ac:dyDescent="0.35">
      <c r="A221" s="449"/>
      <c r="B221" s="479" t="s">
        <v>84</v>
      </c>
      <c r="C221" s="451"/>
      <c r="D221" s="451"/>
      <c r="E221" s="451"/>
      <c r="F221" s="421"/>
      <c r="G221" s="421"/>
      <c r="H221" s="421"/>
      <c r="I221" s="421"/>
      <c r="J221" s="421"/>
      <c r="K221" s="421"/>
      <c r="L221" s="421"/>
      <c r="M221" s="421"/>
      <c r="N221" s="421"/>
      <c r="O221" s="421"/>
      <c r="P221" s="421"/>
      <c r="Q221" s="417"/>
      <c r="R221" s="580">
        <v>0</v>
      </c>
      <c r="S221" s="421"/>
      <c r="T221" s="452"/>
      <c r="U221" s="453"/>
      <c r="V221" s="405"/>
    </row>
    <row r="222" spans="1:22" x14ac:dyDescent="0.35">
      <c r="A222" s="449"/>
      <c r="B222" s="479" t="s">
        <v>85</v>
      </c>
      <c r="C222" s="451"/>
      <c r="D222" s="451"/>
      <c r="E222" s="451"/>
      <c r="F222" s="421"/>
      <c r="G222" s="421"/>
      <c r="H222" s="421"/>
      <c r="I222" s="421"/>
      <c r="J222" s="421"/>
      <c r="K222" s="421"/>
      <c r="L222" s="421"/>
      <c r="M222" s="421"/>
      <c r="N222" s="421"/>
      <c r="O222" s="421"/>
      <c r="P222" s="421"/>
      <c r="Q222" s="417"/>
      <c r="R222" s="585" t="s">
        <v>114</v>
      </c>
      <c r="S222" s="421"/>
      <c r="T222" s="452"/>
      <c r="U222" s="453"/>
      <c r="V222" s="405"/>
    </row>
    <row r="223" spans="1:22" x14ac:dyDescent="0.35">
      <c r="A223" s="454"/>
      <c r="B223" s="479" t="s">
        <v>86</v>
      </c>
      <c r="C223" s="455"/>
      <c r="D223" s="455"/>
      <c r="E223" s="455"/>
      <c r="F223" s="455"/>
      <c r="G223" s="421"/>
      <c r="H223" s="421"/>
      <c r="I223" s="421"/>
      <c r="J223" s="421"/>
      <c r="K223" s="421"/>
      <c r="L223" s="421"/>
      <c r="M223" s="421"/>
      <c r="N223" s="421"/>
      <c r="O223" s="421"/>
      <c r="P223" s="421"/>
      <c r="Q223" s="417"/>
      <c r="R223" s="580"/>
      <c r="S223" s="421"/>
      <c r="T223" s="452"/>
      <c r="U223" s="456"/>
      <c r="V223" s="405"/>
    </row>
    <row r="224" spans="1:22" s="507" customFormat="1" x14ac:dyDescent="0.35">
      <c r="A224" s="583"/>
      <c r="B224" s="521" t="s">
        <v>87</v>
      </c>
      <c r="C224" s="521"/>
      <c r="D224" s="521"/>
      <c r="E224" s="521"/>
      <c r="F224" s="521"/>
      <c r="G224" s="521"/>
      <c r="H224" s="521"/>
      <c r="I224" s="521"/>
      <c r="J224" s="521"/>
      <c r="K224" s="521"/>
      <c r="L224" s="521"/>
      <c r="M224" s="521"/>
      <c r="N224" s="521"/>
      <c r="O224" s="521"/>
      <c r="P224" s="521"/>
      <c r="Q224" s="527"/>
      <c r="R224" s="580">
        <f>+T168</f>
        <v>-45</v>
      </c>
      <c r="S224" s="521"/>
      <c r="T224" s="581"/>
      <c r="U224" s="584"/>
      <c r="V224" s="506"/>
    </row>
    <row r="225" spans="1:23" s="507" customFormat="1" x14ac:dyDescent="0.35">
      <c r="A225" s="578"/>
      <c r="B225" s="521" t="s">
        <v>88</v>
      </c>
      <c r="C225" s="564"/>
      <c r="D225" s="564"/>
      <c r="E225" s="564"/>
      <c r="F225" s="564"/>
      <c r="G225" s="521"/>
      <c r="H225" s="521"/>
      <c r="I225" s="521"/>
      <c r="J225" s="521"/>
      <c r="K225" s="521"/>
      <c r="L225" s="521"/>
      <c r="M225" s="521"/>
      <c r="N225" s="521"/>
      <c r="O225" s="521"/>
      <c r="P225" s="521"/>
      <c r="Q225" s="580"/>
      <c r="R225" s="580">
        <f>'Nov 19'!R225+R224</f>
        <v>7826</v>
      </c>
      <c r="S225" s="521"/>
      <c r="T225" s="581"/>
      <c r="U225" s="584"/>
      <c r="V225" s="506"/>
    </row>
    <row r="226" spans="1:23" x14ac:dyDescent="0.35">
      <c r="A226" s="454"/>
      <c r="B226" s="479" t="s">
        <v>295</v>
      </c>
      <c r="C226" s="455"/>
      <c r="D226" s="455"/>
      <c r="E226" s="455"/>
      <c r="F226" s="455"/>
      <c r="G226" s="421"/>
      <c r="H226" s="421"/>
      <c r="I226" s="421"/>
      <c r="J226" s="421"/>
      <c r="K226" s="421"/>
      <c r="L226" s="421"/>
      <c r="M226" s="421"/>
      <c r="N226" s="421"/>
      <c r="O226" s="421"/>
      <c r="P226" s="421"/>
      <c r="Q226" s="419"/>
      <c r="R226" s="450"/>
      <c r="S226" s="421"/>
      <c r="T226" s="452"/>
      <c r="U226" s="456"/>
      <c r="V226" s="405"/>
    </row>
    <row r="227" spans="1:23" s="507" customFormat="1" x14ac:dyDescent="0.35">
      <c r="A227" s="583"/>
      <c r="B227" s="521" t="s">
        <v>292</v>
      </c>
      <c r="C227" s="521"/>
      <c r="D227" s="521"/>
      <c r="E227" s="521"/>
      <c r="F227" s="521"/>
      <c r="G227" s="521"/>
      <c r="H227" s="521"/>
      <c r="I227" s="521"/>
      <c r="J227" s="521"/>
      <c r="K227" s="521"/>
      <c r="L227" s="521"/>
      <c r="M227" s="521"/>
      <c r="N227" s="521"/>
      <c r="O227" s="521"/>
      <c r="P227" s="521"/>
      <c r="Q227" s="527">
        <v>0</v>
      </c>
      <c r="R227" s="580">
        <v>0</v>
      </c>
      <c r="S227" s="521"/>
      <c r="T227" s="581"/>
      <c r="U227" s="584"/>
      <c r="V227" s="506"/>
    </row>
    <row r="228" spans="1:23" s="507" customFormat="1" x14ac:dyDescent="0.35">
      <c r="A228" s="578"/>
      <c r="B228" s="521" t="s">
        <v>90</v>
      </c>
      <c r="C228" s="543"/>
      <c r="D228" s="543"/>
      <c r="E228" s="543"/>
      <c r="F228" s="586"/>
      <c r="G228" s="521"/>
      <c r="H228" s="521"/>
      <c r="I228" s="521"/>
      <c r="J228" s="521"/>
      <c r="K228" s="521"/>
      <c r="L228" s="521"/>
      <c r="M228" s="521"/>
      <c r="N228" s="521"/>
      <c r="O228" s="521"/>
      <c r="P228" s="521"/>
      <c r="Q228" s="521"/>
      <c r="R228" s="585">
        <v>0</v>
      </c>
      <c r="S228" s="521"/>
      <c r="T228" s="581"/>
      <c r="U228" s="584"/>
      <c r="V228" s="506"/>
    </row>
    <row r="229" spans="1:23" s="507" customFormat="1" x14ac:dyDescent="0.35">
      <c r="A229" s="578"/>
      <c r="B229" s="521" t="s">
        <v>91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79" t="s">
        <v>260</v>
      </c>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s="507" customFormat="1" x14ac:dyDescent="0.35">
      <c r="A231" s="578"/>
      <c r="B231" s="521" t="s">
        <v>292</v>
      </c>
      <c r="C231" s="543"/>
      <c r="D231" s="543"/>
      <c r="E231" s="543"/>
      <c r="F231" s="586"/>
      <c r="G231" s="521"/>
      <c r="H231" s="521"/>
      <c r="I231" s="521"/>
      <c r="J231" s="521"/>
      <c r="K231" s="521"/>
      <c r="L231" s="521"/>
      <c r="M231" s="521"/>
      <c r="N231" s="521"/>
      <c r="O231" s="521"/>
      <c r="P231" s="521"/>
      <c r="Q231" s="527">
        <v>0</v>
      </c>
      <c r="R231" s="580">
        <v>0</v>
      </c>
      <c r="S231" s="521"/>
      <c r="T231" s="581"/>
      <c r="U231" s="584"/>
      <c r="V231" s="506"/>
    </row>
    <row r="232" spans="1:23" s="507" customFormat="1" x14ac:dyDescent="0.35">
      <c r="A232" s="578"/>
      <c r="B232" s="521" t="s">
        <v>261</v>
      </c>
      <c r="C232" s="543"/>
      <c r="D232" s="543"/>
      <c r="E232" s="543"/>
      <c r="F232" s="586"/>
      <c r="G232" s="521"/>
      <c r="H232" s="521"/>
      <c r="I232" s="521"/>
      <c r="J232" s="521"/>
      <c r="K232" s="521"/>
      <c r="L232" s="521"/>
      <c r="M232" s="521"/>
      <c r="N232" s="521"/>
      <c r="O232" s="521"/>
      <c r="P232" s="521"/>
      <c r="Q232" s="521"/>
      <c r="R232" s="585">
        <v>0</v>
      </c>
      <c r="S232" s="521"/>
      <c r="T232" s="581"/>
      <c r="U232" s="584"/>
      <c r="V232" s="506"/>
    </row>
    <row r="233" spans="1:23" x14ac:dyDescent="0.35">
      <c r="A233" s="449"/>
      <c r="B233" s="455"/>
      <c r="C233" s="457"/>
      <c r="D233" s="457"/>
      <c r="E233" s="457"/>
      <c r="F233" s="458"/>
      <c r="G233" s="421"/>
      <c r="H233" s="421"/>
      <c r="I233" s="421"/>
      <c r="J233" s="421"/>
      <c r="K233" s="421"/>
      <c r="L233" s="421"/>
      <c r="M233" s="421"/>
      <c r="N233" s="421"/>
      <c r="O233" s="421"/>
      <c r="P233" s="421"/>
      <c r="Q233" s="417"/>
      <c r="R233" s="459"/>
      <c r="S233" s="421"/>
      <c r="T233" s="452"/>
      <c r="U233" s="456"/>
      <c r="V233" s="405"/>
    </row>
    <row r="234" spans="1:23" x14ac:dyDescent="0.35">
      <c r="A234" s="449"/>
      <c r="B234" s="455"/>
      <c r="C234" s="457"/>
      <c r="D234" s="457"/>
      <c r="E234" s="457"/>
      <c r="F234" s="458"/>
      <c r="G234" s="421"/>
      <c r="H234" s="421"/>
      <c r="I234" s="421"/>
      <c r="J234" s="421"/>
      <c r="K234" s="421"/>
      <c r="L234" s="421"/>
      <c r="M234" s="421"/>
      <c r="N234" s="421"/>
      <c r="O234" s="421"/>
      <c r="P234" s="421"/>
      <c r="Q234" s="421"/>
      <c r="R234" s="460"/>
      <c r="S234" s="421"/>
      <c r="T234" s="452"/>
      <c r="U234" s="456"/>
      <c r="V234" s="405"/>
    </row>
    <row r="235" spans="1:23" ht="18.5" x14ac:dyDescent="0.45">
      <c r="A235" s="449"/>
      <c r="B235" s="478" t="s">
        <v>178</v>
      </c>
      <c r="C235" s="457"/>
      <c r="D235" s="457"/>
      <c r="E235" s="457"/>
      <c r="F235" s="458"/>
      <c r="G235" s="421"/>
      <c r="H235" s="421"/>
      <c r="I235" s="421"/>
      <c r="J235" s="421"/>
      <c r="K235" s="421"/>
      <c r="L235" s="421"/>
      <c r="M235" s="421"/>
      <c r="N235" s="475" t="s">
        <v>361</v>
      </c>
      <c r="O235" s="421"/>
      <c r="P235" s="421"/>
      <c r="Q235" s="421"/>
      <c r="R235" s="460"/>
      <c r="S235" s="421"/>
      <c r="T235" s="452"/>
      <c r="U235" s="456"/>
      <c r="V235" s="405"/>
    </row>
    <row r="236" spans="1:23" x14ac:dyDescent="0.35">
      <c r="A236" s="461"/>
      <c r="B236" s="462"/>
      <c r="C236" s="463"/>
      <c r="D236" s="463"/>
      <c r="E236" s="463"/>
      <c r="F236" s="464"/>
      <c r="G236" s="427"/>
      <c r="H236" s="427"/>
      <c r="I236" s="427"/>
      <c r="J236" s="427"/>
      <c r="K236" s="427"/>
      <c r="L236" s="427"/>
      <c r="M236" s="427"/>
      <c r="N236" s="427"/>
      <c r="O236" s="427"/>
      <c r="P236" s="427"/>
      <c r="Q236" s="427"/>
      <c r="R236" s="465"/>
      <c r="S236" s="427"/>
      <c r="T236" s="466"/>
      <c r="U236" s="467"/>
      <c r="V236" s="405"/>
    </row>
    <row r="237" spans="1:23" x14ac:dyDescent="0.35">
      <c r="A237" s="599"/>
      <c r="B237" s="610" t="s">
        <v>307</v>
      </c>
      <c r="C237" s="611"/>
      <c r="D237" s="611"/>
      <c r="E237" s="611"/>
      <c r="F237" s="627"/>
      <c r="G237" s="611"/>
      <c r="H237" s="611"/>
      <c r="I237" s="611"/>
      <c r="J237" s="611"/>
      <c r="K237" s="611"/>
      <c r="L237" s="611"/>
      <c r="M237" s="611"/>
      <c r="N237" s="611"/>
      <c r="O237" s="611"/>
      <c r="P237" s="627" t="s">
        <v>106</v>
      </c>
      <c r="Q237" s="611" t="s">
        <v>107</v>
      </c>
      <c r="R237" s="627" t="s">
        <v>115</v>
      </c>
      <c r="S237" s="611" t="s">
        <v>107</v>
      </c>
      <c r="T237" s="628"/>
      <c r="U237" s="631"/>
      <c r="V237" s="405"/>
    </row>
    <row r="238" spans="1:23" s="507" customFormat="1" x14ac:dyDescent="0.35">
      <c r="A238" s="508"/>
      <c r="B238" s="571" t="s">
        <v>92</v>
      </c>
      <c r="C238" s="629"/>
      <c r="D238" s="629"/>
      <c r="E238" s="629"/>
      <c r="F238" s="554"/>
      <c r="G238" s="629"/>
      <c r="H238" s="629"/>
      <c r="I238" s="629"/>
      <c r="J238" s="629"/>
      <c r="K238" s="629"/>
      <c r="L238" s="629"/>
      <c r="M238" s="629"/>
      <c r="N238" s="629"/>
      <c r="O238" s="629"/>
      <c r="P238" s="571">
        <f t="shared" ref="P238:P245" si="1">+P250+P262+P274</f>
        <v>2322</v>
      </c>
      <c r="Q238" s="589">
        <f t="shared" ref="Q238:Q245" si="2">P238/$P$247</f>
        <v>0.98057432432432434</v>
      </c>
      <c r="R238" s="594">
        <f t="shared" ref="R238:R245" si="3">+R250+R262+R274</f>
        <v>306439</v>
      </c>
      <c r="S238" s="589">
        <f t="shared" ref="S238:S245" si="4">R238/$R$247</f>
        <v>0.98074602742794958</v>
      </c>
      <c r="T238" s="625"/>
      <c r="U238" s="630"/>
      <c r="V238" s="506"/>
    </row>
    <row r="239" spans="1:23" s="507" customFormat="1" x14ac:dyDescent="0.35">
      <c r="A239" s="520"/>
      <c r="B239" s="564" t="s">
        <v>93</v>
      </c>
      <c r="C239" s="588"/>
      <c r="D239" s="588"/>
      <c r="E239" s="588"/>
      <c r="F239" s="521"/>
      <c r="G239" s="587"/>
      <c r="H239" s="588"/>
      <c r="I239" s="588"/>
      <c r="J239" s="588"/>
      <c r="K239" s="588"/>
      <c r="L239" s="588"/>
      <c r="M239" s="588"/>
      <c r="N239" s="588"/>
      <c r="O239" s="588"/>
      <c r="P239" s="564">
        <f t="shared" si="1"/>
        <v>42</v>
      </c>
      <c r="Q239" s="587">
        <f t="shared" si="2"/>
        <v>1.7736486486486486E-2</v>
      </c>
      <c r="R239" s="565">
        <f t="shared" si="3"/>
        <v>5676</v>
      </c>
      <c r="S239" s="587">
        <f t="shared" si="4"/>
        <v>1.816581587748636E-2</v>
      </c>
      <c r="T239" s="581"/>
      <c r="U239" s="584"/>
      <c r="V239" s="506"/>
      <c r="W239" s="570"/>
    </row>
    <row r="240" spans="1:23" s="507" customFormat="1" x14ac:dyDescent="0.35">
      <c r="A240" s="520"/>
      <c r="B240" s="564" t="s">
        <v>94</v>
      </c>
      <c r="C240" s="588"/>
      <c r="D240" s="588"/>
      <c r="E240" s="588"/>
      <c r="F240" s="521"/>
      <c r="G240" s="587"/>
      <c r="H240" s="588"/>
      <c r="I240" s="588"/>
      <c r="J240" s="588"/>
      <c r="K240" s="588"/>
      <c r="L240" s="588"/>
      <c r="M240" s="588"/>
      <c r="N240" s="588"/>
      <c r="O240" s="588"/>
      <c r="P240" s="564">
        <f t="shared" si="1"/>
        <v>1</v>
      </c>
      <c r="Q240" s="587">
        <f t="shared" si="2"/>
        <v>4.2229729729729732E-4</v>
      </c>
      <c r="R240" s="565">
        <f t="shared" si="3"/>
        <v>52</v>
      </c>
      <c r="S240" s="587">
        <f t="shared" si="4"/>
        <v>1.6642396505096735E-4</v>
      </c>
      <c r="T240" s="581"/>
      <c r="U240" s="584"/>
      <c r="V240" s="506"/>
    </row>
    <row r="241" spans="1:23" s="507" customFormat="1" x14ac:dyDescent="0.35">
      <c r="A241" s="520"/>
      <c r="B241" s="564" t="s">
        <v>164</v>
      </c>
      <c r="C241" s="588"/>
      <c r="D241" s="588"/>
      <c r="E241" s="588"/>
      <c r="F241" s="521"/>
      <c r="G241" s="587"/>
      <c r="H241" s="588"/>
      <c r="I241" s="588"/>
      <c r="J241" s="588"/>
      <c r="K241" s="588"/>
      <c r="L241" s="588"/>
      <c r="M241" s="588"/>
      <c r="N241" s="588"/>
      <c r="O241" s="588"/>
      <c r="P241" s="564">
        <f t="shared" si="1"/>
        <v>0</v>
      </c>
      <c r="Q241" s="587">
        <f t="shared" si="2"/>
        <v>0</v>
      </c>
      <c r="R241" s="565">
        <f t="shared" si="3"/>
        <v>0</v>
      </c>
      <c r="S241" s="587">
        <f t="shared" si="4"/>
        <v>0</v>
      </c>
      <c r="T241" s="581"/>
      <c r="U241" s="584"/>
      <c r="V241" s="506"/>
      <c r="W241" s="570"/>
    </row>
    <row r="242" spans="1:23" s="507" customFormat="1" x14ac:dyDescent="0.35">
      <c r="A242" s="520"/>
      <c r="B242" s="564" t="s">
        <v>165</v>
      </c>
      <c r="C242" s="588"/>
      <c r="D242" s="588"/>
      <c r="E242" s="588"/>
      <c r="F242" s="521"/>
      <c r="G242" s="587"/>
      <c r="H242" s="588"/>
      <c r="I242" s="588"/>
      <c r="J242" s="588"/>
      <c r="K242" s="588"/>
      <c r="L242" s="588"/>
      <c r="M242" s="588"/>
      <c r="N242" s="588"/>
      <c r="O242" s="588"/>
      <c r="P242" s="564">
        <f t="shared" si="1"/>
        <v>2</v>
      </c>
      <c r="Q242" s="587">
        <f t="shared" si="2"/>
        <v>8.4459459459459464E-4</v>
      </c>
      <c r="R242" s="565">
        <f t="shared" si="3"/>
        <v>160</v>
      </c>
      <c r="S242" s="587">
        <f t="shared" si="4"/>
        <v>5.1207373861836107E-4</v>
      </c>
      <c r="T242" s="581"/>
      <c r="U242" s="584"/>
      <c r="V242" s="506"/>
    </row>
    <row r="243" spans="1:23" s="507" customFormat="1" x14ac:dyDescent="0.35">
      <c r="A243" s="520"/>
      <c r="B243" s="564" t="s">
        <v>166</v>
      </c>
      <c r="C243" s="588"/>
      <c r="D243" s="588"/>
      <c r="E243" s="588"/>
      <c r="F243" s="521"/>
      <c r="G243" s="587"/>
      <c r="H243" s="588"/>
      <c r="I243" s="588"/>
      <c r="J243" s="588"/>
      <c r="K243" s="588"/>
      <c r="L243" s="588"/>
      <c r="M243" s="588"/>
      <c r="N243" s="588"/>
      <c r="O243" s="588"/>
      <c r="P243" s="564">
        <f t="shared" si="1"/>
        <v>0</v>
      </c>
      <c r="Q243" s="587">
        <f t="shared" si="2"/>
        <v>0</v>
      </c>
      <c r="R243" s="565">
        <f t="shared" si="3"/>
        <v>0</v>
      </c>
      <c r="S243" s="587">
        <f t="shared" si="4"/>
        <v>0</v>
      </c>
      <c r="T243" s="581"/>
      <c r="U243" s="584"/>
      <c r="V243" s="506"/>
      <c r="W243" s="570"/>
    </row>
    <row r="244" spans="1:23" s="507" customFormat="1" x14ac:dyDescent="0.35">
      <c r="A244" s="520"/>
      <c r="B244" s="564" t="s">
        <v>167</v>
      </c>
      <c r="C244" s="588"/>
      <c r="D244" s="588"/>
      <c r="E244" s="588"/>
      <c r="F244" s="521"/>
      <c r="G244" s="587"/>
      <c r="H244" s="588"/>
      <c r="I244" s="588"/>
      <c r="J244" s="588"/>
      <c r="K244" s="588"/>
      <c r="L244" s="588"/>
      <c r="M244" s="588"/>
      <c r="N244" s="588"/>
      <c r="O244" s="588"/>
      <c r="P244" s="564">
        <f t="shared" si="1"/>
        <v>1</v>
      </c>
      <c r="Q244" s="587">
        <f t="shared" si="2"/>
        <v>4.2229729729729732E-4</v>
      </c>
      <c r="R244" s="565">
        <f t="shared" si="3"/>
        <v>128</v>
      </c>
      <c r="S244" s="587">
        <f t="shared" si="4"/>
        <v>4.0965899089468881E-4</v>
      </c>
      <c r="T244" s="581"/>
      <c r="U244" s="584"/>
      <c r="V244" s="506"/>
    </row>
    <row r="245" spans="1:23" s="507" customFormat="1" x14ac:dyDescent="0.35">
      <c r="A245" s="520"/>
      <c r="B245" s="564" t="s">
        <v>168</v>
      </c>
      <c r="C245" s="588"/>
      <c r="D245" s="588"/>
      <c r="E245" s="588"/>
      <c r="F245" s="521"/>
      <c r="G245" s="587"/>
      <c r="H245" s="588"/>
      <c r="I245" s="588"/>
      <c r="J245" s="588"/>
      <c r="K245" s="588"/>
      <c r="L245" s="588"/>
      <c r="M245" s="588"/>
      <c r="N245" s="588"/>
      <c r="O245" s="588"/>
      <c r="P245" s="564">
        <f t="shared" si="1"/>
        <v>0</v>
      </c>
      <c r="Q245" s="587">
        <f t="shared" si="2"/>
        <v>0</v>
      </c>
      <c r="R245" s="565">
        <f t="shared" si="3"/>
        <v>0</v>
      </c>
      <c r="S245" s="589">
        <f t="shared" si="4"/>
        <v>0</v>
      </c>
      <c r="T245" s="581"/>
      <c r="U245" s="584"/>
      <c r="V245" s="506"/>
      <c r="W245" s="570"/>
    </row>
    <row r="246" spans="1:23" s="507" customFormat="1" x14ac:dyDescent="0.35">
      <c r="A246" s="520"/>
      <c r="B246" s="564"/>
      <c r="C246" s="588"/>
      <c r="D246" s="588"/>
      <c r="E246" s="588"/>
      <c r="F246" s="521"/>
      <c r="G246" s="587"/>
      <c r="H246" s="588"/>
      <c r="I246" s="588"/>
      <c r="J246" s="588"/>
      <c r="K246" s="588"/>
      <c r="L246" s="588"/>
      <c r="M246" s="588"/>
      <c r="N246" s="588"/>
      <c r="O246" s="588"/>
      <c r="P246" s="564"/>
      <c r="Q246" s="587"/>
      <c r="R246" s="565"/>
      <c r="S246" s="587"/>
      <c r="T246" s="581"/>
      <c r="U246" s="584"/>
      <c r="V246" s="506"/>
    </row>
    <row r="247" spans="1:23" s="507" customFormat="1" x14ac:dyDescent="0.35">
      <c r="A247" s="520"/>
      <c r="B247" s="521"/>
      <c r="C247" s="521"/>
      <c r="D247" s="521"/>
      <c r="E247" s="521"/>
      <c r="F247" s="521"/>
      <c r="G247" s="521"/>
      <c r="H247" s="590"/>
      <c r="I247" s="590"/>
      <c r="J247" s="590"/>
      <c r="K247" s="590"/>
      <c r="L247" s="590"/>
      <c r="M247" s="590"/>
      <c r="N247" s="590"/>
      <c r="O247" s="590"/>
      <c r="P247" s="564">
        <f>SUM(P238:P246)</f>
        <v>2368</v>
      </c>
      <c r="Q247" s="587">
        <f>SUM(Q238:Q246)</f>
        <v>1</v>
      </c>
      <c r="R247" s="565">
        <f>SUM(R238:R246)</f>
        <v>312455</v>
      </c>
      <c r="S247" s="587">
        <f>SUM(S238:S246)</f>
        <v>1</v>
      </c>
      <c r="T247" s="521"/>
      <c r="U247" s="523"/>
      <c r="V247" s="506"/>
    </row>
    <row r="248" spans="1:23" x14ac:dyDescent="0.35">
      <c r="A248" s="407"/>
      <c r="B248" s="423"/>
      <c r="C248" s="423"/>
      <c r="D248" s="423"/>
      <c r="E248" s="423"/>
      <c r="F248" s="423"/>
      <c r="G248" s="423"/>
      <c r="H248" s="468"/>
      <c r="I248" s="468"/>
      <c r="J248" s="468"/>
      <c r="K248" s="468"/>
      <c r="L248" s="468"/>
      <c r="M248" s="468"/>
      <c r="N248" s="468"/>
      <c r="O248" s="468"/>
      <c r="P248" s="435"/>
      <c r="Q248" s="469"/>
      <c r="R248" s="470"/>
      <c r="S248" s="469"/>
      <c r="T248" s="423"/>
      <c r="U248" s="423"/>
      <c r="V248" s="405"/>
    </row>
    <row r="249" spans="1:23" x14ac:dyDescent="0.35">
      <c r="A249" s="599"/>
      <c r="B249" s="610" t="s">
        <v>171</v>
      </c>
      <c r="C249" s="611"/>
      <c r="D249" s="611"/>
      <c r="E249" s="611"/>
      <c r="F249" s="627"/>
      <c r="G249" s="611"/>
      <c r="H249" s="611"/>
      <c r="I249" s="611"/>
      <c r="J249" s="611"/>
      <c r="K249" s="611"/>
      <c r="L249" s="611"/>
      <c r="M249" s="611"/>
      <c r="N249" s="611"/>
      <c r="O249" s="611"/>
      <c r="P249" s="627" t="s">
        <v>106</v>
      </c>
      <c r="Q249" s="611" t="s">
        <v>107</v>
      </c>
      <c r="R249" s="627" t="s">
        <v>115</v>
      </c>
      <c r="S249" s="611" t="s">
        <v>107</v>
      </c>
      <c r="T249" s="628"/>
      <c r="U249" s="631"/>
      <c r="V249" s="405"/>
    </row>
    <row r="250" spans="1:23" s="507" customFormat="1" x14ac:dyDescent="0.35">
      <c r="A250" s="508"/>
      <c r="B250" s="571" t="s">
        <v>92</v>
      </c>
      <c r="C250" s="629"/>
      <c r="D250" s="629"/>
      <c r="E250" s="629"/>
      <c r="F250" s="554"/>
      <c r="G250" s="629"/>
      <c r="H250" s="629"/>
      <c r="I250" s="629"/>
      <c r="J250" s="629"/>
      <c r="K250" s="629"/>
      <c r="L250" s="629"/>
      <c r="M250" s="629"/>
      <c r="N250" s="629"/>
      <c r="O250" s="629"/>
      <c r="P250" s="571">
        <v>2272</v>
      </c>
      <c r="Q250" s="632">
        <f t="shared" ref="Q250:Q257" si="5">P250/$P$259</f>
        <v>0.98184961106309421</v>
      </c>
      <c r="R250" s="594">
        <v>299069</v>
      </c>
      <c r="S250" s="632">
        <f t="shared" ref="S250:S257" si="6">R250/$R$259</f>
        <v>0.98160006564371871</v>
      </c>
      <c r="T250" s="625"/>
      <c r="U250" s="630"/>
      <c r="V250" s="506"/>
    </row>
    <row r="251" spans="1:23" s="507" customFormat="1" x14ac:dyDescent="0.35">
      <c r="A251" s="520"/>
      <c r="B251" s="564" t="s">
        <v>93</v>
      </c>
      <c r="C251" s="588"/>
      <c r="D251" s="588"/>
      <c r="E251" s="588"/>
      <c r="F251" s="521"/>
      <c r="G251" s="587"/>
      <c r="H251" s="588"/>
      <c r="I251" s="588"/>
      <c r="J251" s="588"/>
      <c r="K251" s="588"/>
      <c r="L251" s="588"/>
      <c r="M251" s="588"/>
      <c r="N251" s="588"/>
      <c r="O251" s="588"/>
      <c r="P251" s="564">
        <v>40</v>
      </c>
      <c r="Q251" s="587">
        <f t="shared" si="5"/>
        <v>1.728608470181504E-2</v>
      </c>
      <c r="R251" s="565">
        <v>5426</v>
      </c>
      <c r="S251" s="587">
        <f t="shared" si="6"/>
        <v>1.7809140887831296E-2</v>
      </c>
      <c r="T251" s="581"/>
      <c r="U251" s="584"/>
      <c r="V251" s="506"/>
      <c r="W251" s="570"/>
    </row>
    <row r="252" spans="1:23" s="507" customFormat="1" x14ac:dyDescent="0.35">
      <c r="A252" s="520"/>
      <c r="B252" s="564" t="s">
        <v>94</v>
      </c>
      <c r="C252" s="588"/>
      <c r="D252" s="588"/>
      <c r="E252" s="588"/>
      <c r="F252" s="521"/>
      <c r="G252" s="587"/>
      <c r="H252" s="588"/>
      <c r="I252" s="588"/>
      <c r="J252" s="588"/>
      <c r="K252" s="588"/>
      <c r="L252" s="588"/>
      <c r="M252" s="588"/>
      <c r="N252" s="588"/>
      <c r="O252" s="588"/>
      <c r="P252" s="564">
        <v>1</v>
      </c>
      <c r="Q252" s="587">
        <f t="shared" si="5"/>
        <v>4.3215211754537599E-4</v>
      </c>
      <c r="R252" s="565">
        <v>52</v>
      </c>
      <c r="S252" s="587">
        <f t="shared" si="6"/>
        <v>1.7067366866332977E-4</v>
      </c>
      <c r="T252" s="581"/>
      <c r="U252" s="584"/>
      <c r="V252" s="506"/>
    </row>
    <row r="253" spans="1:23" s="507" customFormat="1" x14ac:dyDescent="0.35">
      <c r="A253" s="520"/>
      <c r="B253" s="564" t="s">
        <v>164</v>
      </c>
      <c r="C253" s="588"/>
      <c r="D253" s="588"/>
      <c r="E253" s="588"/>
      <c r="F253" s="521"/>
      <c r="G253" s="587"/>
      <c r="H253" s="588"/>
      <c r="I253" s="588"/>
      <c r="J253" s="588"/>
      <c r="K253" s="588"/>
      <c r="L253" s="588"/>
      <c r="M253" s="588"/>
      <c r="N253" s="588"/>
      <c r="O253" s="588"/>
      <c r="P253" s="564">
        <v>0</v>
      </c>
      <c r="Q253" s="587">
        <f t="shared" si="5"/>
        <v>0</v>
      </c>
      <c r="R253" s="565">
        <v>0</v>
      </c>
      <c r="S253" s="587">
        <f t="shared" si="6"/>
        <v>0</v>
      </c>
      <c r="T253" s="581"/>
      <c r="U253" s="584"/>
      <c r="V253" s="506"/>
      <c r="W253" s="570"/>
    </row>
    <row r="254" spans="1:23" s="507" customFormat="1" x14ac:dyDescent="0.35">
      <c r="A254" s="520"/>
      <c r="B254" s="564" t="s">
        <v>165</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row>
    <row r="255" spans="1:23" s="507" customFormat="1" x14ac:dyDescent="0.35">
      <c r="A255" s="520"/>
      <c r="B255" s="564" t="s">
        <v>166</v>
      </c>
      <c r="C255" s="588"/>
      <c r="D255" s="588"/>
      <c r="E255" s="588"/>
      <c r="F255" s="521"/>
      <c r="G255" s="587"/>
      <c r="H255" s="588"/>
      <c r="I255" s="588"/>
      <c r="J255" s="588"/>
      <c r="K255" s="588"/>
      <c r="L255" s="588"/>
      <c r="M255" s="588"/>
      <c r="N255" s="588"/>
      <c r="O255" s="588"/>
      <c r="P255" s="564">
        <v>0</v>
      </c>
      <c r="Q255" s="587">
        <f t="shared" si="5"/>
        <v>0</v>
      </c>
      <c r="R255" s="565">
        <v>0</v>
      </c>
      <c r="S255" s="587">
        <f t="shared" si="6"/>
        <v>0</v>
      </c>
      <c r="T255" s="581"/>
      <c r="U255" s="584"/>
      <c r="V255" s="506"/>
      <c r="W255" s="570"/>
    </row>
    <row r="256" spans="1:23" s="507" customFormat="1" x14ac:dyDescent="0.35">
      <c r="A256" s="520"/>
      <c r="B256" s="564" t="s">
        <v>167</v>
      </c>
      <c r="C256" s="588"/>
      <c r="D256" s="588"/>
      <c r="E256" s="588"/>
      <c r="F256" s="521"/>
      <c r="G256" s="587"/>
      <c r="H256" s="588"/>
      <c r="I256" s="588"/>
      <c r="J256" s="588"/>
      <c r="K256" s="588"/>
      <c r="L256" s="588"/>
      <c r="M256" s="588"/>
      <c r="N256" s="588"/>
      <c r="O256" s="588"/>
      <c r="P256" s="564">
        <v>1</v>
      </c>
      <c r="Q256" s="587">
        <f t="shared" si="5"/>
        <v>4.3215211754537599E-4</v>
      </c>
      <c r="R256" s="565">
        <v>128</v>
      </c>
      <c r="S256" s="587">
        <f t="shared" si="6"/>
        <v>4.201197997866579E-4</v>
      </c>
      <c r="T256" s="581"/>
      <c r="U256" s="584"/>
      <c r="V256" s="506"/>
    </row>
    <row r="257" spans="1:23" s="507" customFormat="1" x14ac:dyDescent="0.35">
      <c r="A257" s="520"/>
      <c r="B257" s="564" t="s">
        <v>168</v>
      </c>
      <c r="C257" s="588"/>
      <c r="D257" s="588"/>
      <c r="E257" s="588"/>
      <c r="F257" s="521"/>
      <c r="G257" s="587"/>
      <c r="H257" s="588"/>
      <c r="I257" s="588"/>
      <c r="J257" s="588"/>
      <c r="K257" s="588"/>
      <c r="L257" s="588"/>
      <c r="M257" s="588"/>
      <c r="N257" s="588"/>
      <c r="O257" s="588"/>
      <c r="P257" s="564">
        <v>0</v>
      </c>
      <c r="Q257" s="587">
        <f t="shared" si="5"/>
        <v>0</v>
      </c>
      <c r="R257" s="565">
        <v>0</v>
      </c>
      <c r="S257" s="587">
        <f t="shared" si="6"/>
        <v>0</v>
      </c>
      <c r="T257" s="581"/>
      <c r="U257" s="584"/>
      <c r="V257" s="506"/>
      <c r="W257" s="570"/>
    </row>
    <row r="258" spans="1:23" s="507" customFormat="1" x14ac:dyDescent="0.35">
      <c r="A258" s="520"/>
      <c r="B258" s="564"/>
      <c r="C258" s="588"/>
      <c r="D258" s="588"/>
      <c r="E258" s="588"/>
      <c r="F258" s="521"/>
      <c r="G258" s="587"/>
      <c r="H258" s="588"/>
      <c r="I258" s="588"/>
      <c r="J258" s="588"/>
      <c r="K258" s="588"/>
      <c r="L258" s="588"/>
      <c r="M258" s="588"/>
      <c r="N258" s="588"/>
      <c r="O258" s="588"/>
      <c r="P258" s="564"/>
      <c r="Q258" s="587"/>
      <c r="R258" s="565"/>
      <c r="S258" s="587"/>
      <c r="T258" s="581"/>
      <c r="U258" s="584"/>
      <c r="V258" s="506"/>
    </row>
    <row r="259" spans="1:23" s="507" customFormat="1" x14ac:dyDescent="0.35">
      <c r="A259" s="520"/>
      <c r="B259" s="521"/>
      <c r="C259" s="521"/>
      <c r="D259" s="521"/>
      <c r="E259" s="521"/>
      <c r="F259" s="521"/>
      <c r="G259" s="521"/>
      <c r="H259" s="590"/>
      <c r="I259" s="590"/>
      <c r="J259" s="590"/>
      <c r="K259" s="590"/>
      <c r="L259" s="590"/>
      <c r="M259" s="590"/>
      <c r="N259" s="590"/>
      <c r="O259" s="590"/>
      <c r="P259" s="564">
        <f>SUM(P250:P258)</f>
        <v>2314</v>
      </c>
      <c r="Q259" s="587">
        <f>SUM(Q250:Q258)</f>
        <v>0.99999999999999989</v>
      </c>
      <c r="R259" s="565">
        <f>SUM(R250:R258)</f>
        <v>304675</v>
      </c>
      <c r="S259" s="587">
        <f>SUM(S250:S258)</f>
        <v>0.99999999999999989</v>
      </c>
      <c r="T259" s="521"/>
      <c r="U259" s="523"/>
      <c r="V259" s="506"/>
    </row>
    <row r="260" spans="1:23" x14ac:dyDescent="0.35">
      <c r="A260" s="407"/>
      <c r="B260" s="423"/>
      <c r="C260" s="423"/>
      <c r="D260" s="423"/>
      <c r="E260" s="423"/>
      <c r="F260" s="423"/>
      <c r="G260" s="423"/>
      <c r="H260" s="468"/>
      <c r="I260" s="468"/>
      <c r="J260" s="468"/>
      <c r="K260" s="468"/>
      <c r="L260" s="468"/>
      <c r="M260" s="468"/>
      <c r="N260" s="468"/>
      <c r="O260" s="468"/>
      <c r="P260" s="435"/>
      <c r="Q260" s="469"/>
      <c r="R260" s="470"/>
      <c r="S260" s="469"/>
      <c r="T260" s="423"/>
      <c r="U260" s="423"/>
      <c r="V260" s="405"/>
    </row>
    <row r="261" spans="1:23" x14ac:dyDescent="0.35">
      <c r="A261" s="599"/>
      <c r="B261" s="610" t="s">
        <v>275</v>
      </c>
      <c r="C261" s="611"/>
      <c r="D261" s="611"/>
      <c r="E261" s="611"/>
      <c r="F261" s="627"/>
      <c r="G261" s="611"/>
      <c r="H261" s="611"/>
      <c r="I261" s="611"/>
      <c r="J261" s="611"/>
      <c r="K261" s="611"/>
      <c r="L261" s="611"/>
      <c r="M261" s="611"/>
      <c r="N261" s="611"/>
      <c r="O261" s="611"/>
      <c r="P261" s="627" t="s">
        <v>106</v>
      </c>
      <c r="Q261" s="611" t="s">
        <v>107</v>
      </c>
      <c r="R261" s="627" t="s">
        <v>115</v>
      </c>
      <c r="S261" s="611" t="s">
        <v>107</v>
      </c>
      <c r="T261" s="628"/>
      <c r="U261" s="614"/>
      <c r="V261" s="405"/>
    </row>
    <row r="262" spans="1:23" s="507" customFormat="1" x14ac:dyDescent="0.35">
      <c r="A262" s="508"/>
      <c r="B262" s="571" t="s">
        <v>92</v>
      </c>
      <c r="C262" s="629"/>
      <c r="D262" s="629"/>
      <c r="E262" s="629"/>
      <c r="F262" s="554"/>
      <c r="G262" s="629"/>
      <c r="H262" s="629"/>
      <c r="I262" s="629"/>
      <c r="J262" s="629"/>
      <c r="K262" s="629"/>
      <c r="L262" s="629"/>
      <c r="M262" s="629"/>
      <c r="N262" s="629"/>
      <c r="O262" s="629"/>
      <c r="P262" s="571">
        <v>50</v>
      </c>
      <c r="Q262" s="632">
        <f t="shared" ref="Q262:Q269" si="7">P262/$P$271</f>
        <v>0.92592592592592593</v>
      </c>
      <c r="R262" s="594">
        <v>7370</v>
      </c>
      <c r="S262" s="632">
        <f t="shared" ref="S262:S269" si="8">R262/$R$271</f>
        <v>0.9473007712082262</v>
      </c>
      <c r="T262" s="554"/>
      <c r="U262" s="554"/>
      <c r="V262" s="506"/>
    </row>
    <row r="263" spans="1:23" s="507" customFormat="1" x14ac:dyDescent="0.35">
      <c r="A263" s="520"/>
      <c r="B263" s="564" t="s">
        <v>93</v>
      </c>
      <c r="C263" s="588"/>
      <c r="D263" s="588"/>
      <c r="E263" s="588"/>
      <c r="F263" s="521"/>
      <c r="G263" s="587"/>
      <c r="H263" s="588"/>
      <c r="I263" s="588"/>
      <c r="J263" s="588"/>
      <c r="K263" s="588"/>
      <c r="L263" s="588"/>
      <c r="M263" s="588"/>
      <c r="N263" s="588"/>
      <c r="O263" s="588"/>
      <c r="P263" s="564">
        <v>2</v>
      </c>
      <c r="Q263" s="587">
        <f t="shared" si="7"/>
        <v>3.7037037037037035E-2</v>
      </c>
      <c r="R263" s="565">
        <v>250</v>
      </c>
      <c r="S263" s="587">
        <f t="shared" si="8"/>
        <v>3.2133676092544985E-2</v>
      </c>
      <c r="T263" s="521"/>
      <c r="U263" s="523"/>
      <c r="V263" s="506"/>
    </row>
    <row r="264" spans="1:23" s="507" customFormat="1" x14ac:dyDescent="0.35">
      <c r="A264" s="520"/>
      <c r="B264" s="564" t="s">
        <v>94</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3" s="507" customFormat="1" x14ac:dyDescent="0.35">
      <c r="A265" s="520"/>
      <c r="B265" s="564" t="s">
        <v>164</v>
      </c>
      <c r="C265" s="588"/>
      <c r="D265" s="588"/>
      <c r="E265" s="588"/>
      <c r="F265" s="521"/>
      <c r="G265" s="587"/>
      <c r="H265" s="588"/>
      <c r="I265" s="588"/>
      <c r="J265" s="588"/>
      <c r="K265" s="588"/>
      <c r="L265" s="588"/>
      <c r="M265" s="588"/>
      <c r="N265" s="588"/>
      <c r="O265" s="588"/>
      <c r="P265" s="564">
        <v>0</v>
      </c>
      <c r="Q265" s="587">
        <f t="shared" si="7"/>
        <v>0</v>
      </c>
      <c r="R265" s="565">
        <v>0</v>
      </c>
      <c r="S265" s="587">
        <f t="shared" si="8"/>
        <v>0</v>
      </c>
      <c r="T265" s="521"/>
      <c r="U265" s="523"/>
      <c r="V265" s="506"/>
    </row>
    <row r="266" spans="1:23" s="507" customFormat="1" x14ac:dyDescent="0.35">
      <c r="A266" s="520"/>
      <c r="B266" s="564" t="s">
        <v>165</v>
      </c>
      <c r="C266" s="588"/>
      <c r="D266" s="588"/>
      <c r="E266" s="588"/>
      <c r="F266" s="521"/>
      <c r="G266" s="587"/>
      <c r="H266" s="588"/>
      <c r="I266" s="588"/>
      <c r="J266" s="588"/>
      <c r="K266" s="588"/>
      <c r="L266" s="588"/>
      <c r="M266" s="588"/>
      <c r="N266" s="588"/>
      <c r="O266" s="588"/>
      <c r="P266" s="564">
        <v>2</v>
      </c>
      <c r="Q266" s="587">
        <f t="shared" si="7"/>
        <v>3.7037037037037035E-2</v>
      </c>
      <c r="R266" s="565">
        <v>160</v>
      </c>
      <c r="S266" s="587">
        <f t="shared" si="8"/>
        <v>2.056555269922879E-2</v>
      </c>
      <c r="T266" s="521"/>
      <c r="U266" s="523"/>
      <c r="V266" s="506"/>
    </row>
    <row r="267" spans="1:23" s="507" customFormat="1" x14ac:dyDescent="0.35">
      <c r="A267" s="520"/>
      <c r="B267" s="564" t="s">
        <v>166</v>
      </c>
      <c r="C267" s="588"/>
      <c r="D267" s="588"/>
      <c r="E267" s="588"/>
      <c r="F267" s="521"/>
      <c r="G267" s="587"/>
      <c r="H267" s="588"/>
      <c r="I267" s="588"/>
      <c r="J267" s="588"/>
      <c r="K267" s="588"/>
      <c r="L267" s="588"/>
      <c r="M267" s="588"/>
      <c r="N267" s="588"/>
      <c r="O267" s="588"/>
      <c r="P267" s="564">
        <v>0</v>
      </c>
      <c r="Q267" s="587">
        <f t="shared" si="7"/>
        <v>0</v>
      </c>
      <c r="R267" s="565">
        <v>0</v>
      </c>
      <c r="S267" s="587">
        <f t="shared" si="8"/>
        <v>0</v>
      </c>
      <c r="T267" s="521"/>
      <c r="U267" s="523"/>
      <c r="V267" s="506"/>
    </row>
    <row r="268" spans="1:23" s="507" customFormat="1" x14ac:dyDescent="0.35">
      <c r="A268" s="520"/>
      <c r="B268" s="564" t="s">
        <v>167</v>
      </c>
      <c r="C268" s="588"/>
      <c r="D268" s="588"/>
      <c r="E268" s="588"/>
      <c r="F268" s="521"/>
      <c r="G268" s="587"/>
      <c r="H268" s="588"/>
      <c r="I268" s="588"/>
      <c r="J268" s="588"/>
      <c r="K268" s="588"/>
      <c r="L268" s="588"/>
      <c r="M268" s="588"/>
      <c r="N268" s="588"/>
      <c r="O268" s="588"/>
      <c r="P268" s="564">
        <v>0</v>
      </c>
      <c r="Q268" s="587">
        <f t="shared" si="7"/>
        <v>0</v>
      </c>
      <c r="R268" s="565">
        <v>0</v>
      </c>
      <c r="S268" s="587">
        <f t="shared" si="8"/>
        <v>0</v>
      </c>
      <c r="T268" s="521"/>
      <c r="U268" s="523"/>
      <c r="V268" s="506"/>
    </row>
    <row r="269" spans="1:23" s="507" customFormat="1" x14ac:dyDescent="0.35">
      <c r="A269" s="520"/>
      <c r="B269" s="564" t="s">
        <v>168</v>
      </c>
      <c r="C269" s="588"/>
      <c r="D269" s="588"/>
      <c r="E269" s="588"/>
      <c r="F269" s="521"/>
      <c r="G269" s="587"/>
      <c r="H269" s="588"/>
      <c r="I269" s="588"/>
      <c r="J269" s="588"/>
      <c r="K269" s="588"/>
      <c r="L269" s="588"/>
      <c r="M269" s="588"/>
      <c r="N269" s="588"/>
      <c r="O269" s="588"/>
      <c r="P269" s="564">
        <v>0</v>
      </c>
      <c r="Q269" s="587">
        <f t="shared" si="7"/>
        <v>0</v>
      </c>
      <c r="R269" s="565">
        <v>0</v>
      </c>
      <c r="S269" s="587">
        <f t="shared" si="8"/>
        <v>0</v>
      </c>
      <c r="T269" s="521"/>
      <c r="U269" s="523"/>
      <c r="V269" s="506"/>
    </row>
    <row r="270" spans="1:23" s="507" customFormat="1" x14ac:dyDescent="0.35">
      <c r="A270" s="520"/>
      <c r="B270" s="564"/>
      <c r="C270" s="588"/>
      <c r="D270" s="588"/>
      <c r="E270" s="588"/>
      <c r="F270" s="521"/>
      <c r="G270" s="587"/>
      <c r="H270" s="588"/>
      <c r="I270" s="588"/>
      <c r="J270" s="588"/>
      <c r="K270" s="588"/>
      <c r="L270" s="588"/>
      <c r="M270" s="588"/>
      <c r="N270" s="588"/>
      <c r="O270" s="588"/>
      <c r="P270" s="564"/>
      <c r="Q270" s="587"/>
      <c r="R270" s="565"/>
      <c r="S270" s="587"/>
      <c r="T270" s="521"/>
      <c r="U270" s="523"/>
      <c r="V270" s="506"/>
    </row>
    <row r="271" spans="1:23" s="507" customFormat="1" x14ac:dyDescent="0.35">
      <c r="A271" s="520"/>
      <c r="B271" s="521"/>
      <c r="C271" s="521"/>
      <c r="D271" s="521"/>
      <c r="E271" s="521"/>
      <c r="F271" s="521"/>
      <c r="G271" s="521"/>
      <c r="H271" s="590"/>
      <c r="I271" s="590"/>
      <c r="J271" s="590"/>
      <c r="K271" s="590"/>
      <c r="L271" s="590"/>
      <c r="M271" s="590"/>
      <c r="N271" s="590"/>
      <c r="O271" s="590"/>
      <c r="P271" s="564">
        <f>SUM(P262:P270)</f>
        <v>54</v>
      </c>
      <c r="Q271" s="587">
        <f>SUM(Q262:Q270)</f>
        <v>1</v>
      </c>
      <c r="R271" s="565">
        <f>SUM(R262:R270)</f>
        <v>7780</v>
      </c>
      <c r="S271" s="587">
        <f>SUM(S262:S270)</f>
        <v>1</v>
      </c>
      <c r="T271" s="521"/>
      <c r="U271" s="523"/>
      <c r="V271" s="506"/>
    </row>
    <row r="272" spans="1:23" x14ac:dyDescent="0.35">
      <c r="A272" s="407"/>
      <c r="B272" s="423"/>
      <c r="C272" s="423"/>
      <c r="D272" s="423"/>
      <c r="E272" s="423"/>
      <c r="F272" s="423"/>
      <c r="G272" s="423"/>
      <c r="H272" s="468"/>
      <c r="I272" s="468"/>
      <c r="J272" s="468"/>
      <c r="K272" s="468"/>
      <c r="L272" s="468"/>
      <c r="M272" s="468"/>
      <c r="N272" s="468"/>
      <c r="O272" s="468"/>
      <c r="P272" s="435"/>
      <c r="Q272" s="469"/>
      <c r="R272" s="470"/>
      <c r="S272" s="469"/>
      <c r="T272" s="423"/>
      <c r="U272" s="423"/>
      <c r="V272" s="405"/>
    </row>
    <row r="273" spans="1:22" x14ac:dyDescent="0.35">
      <c r="A273" s="599"/>
      <c r="B273" s="610" t="s">
        <v>173</v>
      </c>
      <c r="C273" s="628"/>
      <c r="D273" s="628"/>
      <c r="E273" s="628"/>
      <c r="F273" s="628"/>
      <c r="G273" s="628"/>
      <c r="H273" s="633"/>
      <c r="I273" s="633"/>
      <c r="J273" s="633"/>
      <c r="K273" s="633"/>
      <c r="L273" s="633"/>
      <c r="M273" s="633"/>
      <c r="N273" s="633"/>
      <c r="O273" s="633"/>
      <c r="P273" s="627" t="s">
        <v>106</v>
      </c>
      <c r="Q273" s="611" t="s">
        <v>107</v>
      </c>
      <c r="R273" s="627" t="s">
        <v>115</v>
      </c>
      <c r="S273" s="611" t="s">
        <v>107</v>
      </c>
      <c r="T273" s="628"/>
      <c r="U273" s="614"/>
      <c r="V273" s="405"/>
    </row>
    <row r="274" spans="1:22" s="507" customFormat="1" x14ac:dyDescent="0.35">
      <c r="A274" s="508"/>
      <c r="B274" s="571" t="s">
        <v>92</v>
      </c>
      <c r="C274" s="554"/>
      <c r="D274" s="554"/>
      <c r="E274" s="554"/>
      <c r="F274" s="554"/>
      <c r="G274" s="554"/>
      <c r="H274" s="593"/>
      <c r="I274" s="593"/>
      <c r="J274" s="593"/>
      <c r="K274" s="593"/>
      <c r="L274" s="593"/>
      <c r="M274" s="593"/>
      <c r="N274" s="593"/>
      <c r="O274" s="593"/>
      <c r="P274" s="571">
        <v>0</v>
      </c>
      <c r="Q274" s="632">
        <v>0</v>
      </c>
      <c r="R274" s="594">
        <v>0</v>
      </c>
      <c r="S274" s="632">
        <v>0</v>
      </c>
      <c r="T274" s="554"/>
      <c r="U274" s="554"/>
      <c r="V274" s="506"/>
    </row>
    <row r="275" spans="1:22" s="507" customFormat="1" x14ac:dyDescent="0.35">
      <c r="A275" s="520"/>
      <c r="B275" s="564" t="s">
        <v>93</v>
      </c>
      <c r="C275" s="521"/>
      <c r="D275" s="521"/>
      <c r="E275" s="521"/>
      <c r="F275" s="521"/>
      <c r="G275" s="521"/>
      <c r="H275" s="590"/>
      <c r="I275" s="590"/>
      <c r="J275" s="590"/>
      <c r="K275" s="590"/>
      <c r="L275" s="590"/>
      <c r="M275" s="590"/>
      <c r="N275" s="590"/>
      <c r="O275" s="590"/>
      <c r="P275" s="564">
        <v>0</v>
      </c>
      <c r="Q275" s="587">
        <v>0</v>
      </c>
      <c r="R275" s="565">
        <v>0</v>
      </c>
      <c r="S275" s="587">
        <v>0</v>
      </c>
      <c r="T275" s="521"/>
      <c r="U275" s="523"/>
      <c r="V275" s="506"/>
    </row>
    <row r="276" spans="1:22" s="507" customFormat="1" x14ac:dyDescent="0.35">
      <c r="A276" s="520"/>
      <c r="B276" s="564" t="s">
        <v>94</v>
      </c>
      <c r="C276" s="521"/>
      <c r="D276" s="521"/>
      <c r="E276" s="521"/>
      <c r="F276" s="521"/>
      <c r="G276" s="521"/>
      <c r="H276" s="590"/>
      <c r="I276" s="590"/>
      <c r="J276" s="590"/>
      <c r="K276" s="590"/>
      <c r="L276" s="590"/>
      <c r="M276" s="590"/>
      <c r="N276" s="590"/>
      <c r="O276" s="590"/>
      <c r="P276" s="564">
        <v>0</v>
      </c>
      <c r="Q276" s="587">
        <v>0</v>
      </c>
      <c r="R276" s="565">
        <v>0</v>
      </c>
      <c r="S276" s="587">
        <v>0</v>
      </c>
      <c r="T276" s="521"/>
      <c r="U276" s="523"/>
      <c r="V276" s="506"/>
    </row>
    <row r="277" spans="1:22" s="507" customFormat="1" x14ac:dyDescent="0.35">
      <c r="A277" s="520"/>
      <c r="B277" s="564" t="s">
        <v>164</v>
      </c>
      <c r="C277" s="521"/>
      <c r="D277" s="521"/>
      <c r="E277" s="521"/>
      <c r="F277" s="521"/>
      <c r="G277" s="521"/>
      <c r="H277" s="590"/>
      <c r="I277" s="590"/>
      <c r="J277" s="590"/>
      <c r="K277" s="590"/>
      <c r="L277" s="590"/>
      <c r="M277" s="590"/>
      <c r="N277" s="590"/>
      <c r="O277" s="590"/>
      <c r="P277" s="564">
        <v>0</v>
      </c>
      <c r="Q277" s="587">
        <v>0</v>
      </c>
      <c r="R277" s="565">
        <v>0</v>
      </c>
      <c r="S277" s="587">
        <v>0</v>
      </c>
      <c r="T277" s="521"/>
      <c r="U277" s="523"/>
      <c r="V277" s="506"/>
    </row>
    <row r="278" spans="1:22" s="507" customFormat="1" x14ac:dyDescent="0.35">
      <c r="A278" s="520"/>
      <c r="B278" s="564" t="s">
        <v>165</v>
      </c>
      <c r="C278" s="521"/>
      <c r="D278" s="521"/>
      <c r="E278" s="521"/>
      <c r="F278" s="521"/>
      <c r="G278" s="521"/>
      <c r="H278" s="590"/>
      <c r="I278" s="590"/>
      <c r="J278" s="590"/>
      <c r="K278" s="590"/>
      <c r="L278" s="590"/>
      <c r="M278" s="590"/>
      <c r="N278" s="590"/>
      <c r="O278" s="590"/>
      <c r="P278" s="564">
        <v>0</v>
      </c>
      <c r="Q278" s="587">
        <v>0</v>
      </c>
      <c r="R278" s="565">
        <v>0</v>
      </c>
      <c r="S278" s="587">
        <v>0</v>
      </c>
      <c r="T278" s="521"/>
      <c r="U278" s="523"/>
      <c r="V278" s="506"/>
    </row>
    <row r="279" spans="1:22" s="507" customFormat="1" x14ac:dyDescent="0.35">
      <c r="A279" s="520"/>
      <c r="B279" s="564" t="s">
        <v>166</v>
      </c>
      <c r="C279" s="521"/>
      <c r="D279" s="521"/>
      <c r="E279" s="521"/>
      <c r="F279" s="521"/>
      <c r="G279" s="521"/>
      <c r="H279" s="590"/>
      <c r="I279" s="590"/>
      <c r="J279" s="590"/>
      <c r="K279" s="590"/>
      <c r="L279" s="590"/>
      <c r="M279" s="590"/>
      <c r="N279" s="590"/>
      <c r="O279" s="590"/>
      <c r="P279" s="564">
        <v>0</v>
      </c>
      <c r="Q279" s="587">
        <v>0</v>
      </c>
      <c r="R279" s="565">
        <v>0</v>
      </c>
      <c r="S279" s="587">
        <v>0</v>
      </c>
      <c r="T279" s="521"/>
      <c r="U279" s="523"/>
      <c r="V279" s="506"/>
    </row>
    <row r="280" spans="1:22" s="507" customFormat="1" x14ac:dyDescent="0.35">
      <c r="A280" s="520"/>
      <c r="B280" s="564" t="s">
        <v>167</v>
      </c>
      <c r="C280" s="521"/>
      <c r="D280" s="521"/>
      <c r="E280" s="521"/>
      <c r="F280" s="521"/>
      <c r="G280" s="521"/>
      <c r="H280" s="590"/>
      <c r="I280" s="590"/>
      <c r="J280" s="590"/>
      <c r="K280" s="590"/>
      <c r="L280" s="590"/>
      <c r="M280" s="590"/>
      <c r="N280" s="590"/>
      <c r="O280" s="590"/>
      <c r="P280" s="564">
        <v>0</v>
      </c>
      <c r="Q280" s="587">
        <v>0</v>
      </c>
      <c r="R280" s="565">
        <v>0</v>
      </c>
      <c r="S280" s="587">
        <v>0</v>
      </c>
      <c r="T280" s="521"/>
      <c r="U280" s="523"/>
      <c r="V280" s="506"/>
    </row>
    <row r="281" spans="1:22" s="507" customFormat="1" x14ac:dyDescent="0.35">
      <c r="A281" s="520"/>
      <c r="B281" s="564" t="s">
        <v>168</v>
      </c>
      <c r="C281" s="521"/>
      <c r="D281" s="521"/>
      <c r="E281" s="521"/>
      <c r="F281" s="521"/>
      <c r="G281" s="521"/>
      <c r="H281" s="590"/>
      <c r="I281" s="590"/>
      <c r="J281" s="590"/>
      <c r="K281" s="590"/>
      <c r="L281" s="590"/>
      <c r="M281" s="590"/>
      <c r="N281" s="590"/>
      <c r="O281" s="590"/>
      <c r="P281" s="564">
        <v>0</v>
      </c>
      <c r="Q281" s="587">
        <v>0</v>
      </c>
      <c r="R281" s="565">
        <v>0</v>
      </c>
      <c r="S281" s="587">
        <v>0</v>
      </c>
      <c r="T281" s="521"/>
      <c r="U281" s="523"/>
      <c r="V281" s="506"/>
    </row>
    <row r="282" spans="1:22" s="507" customFormat="1" x14ac:dyDescent="0.35">
      <c r="A282" s="520"/>
      <c r="B282" s="564"/>
      <c r="C282" s="521"/>
      <c r="D282" s="521"/>
      <c r="E282" s="521"/>
      <c r="F282" s="521"/>
      <c r="G282" s="521"/>
      <c r="H282" s="590"/>
      <c r="I282" s="590"/>
      <c r="J282" s="590"/>
      <c r="K282" s="590"/>
      <c r="L282" s="590"/>
      <c r="M282" s="590"/>
      <c r="N282" s="590"/>
      <c r="O282" s="590"/>
      <c r="P282" s="564"/>
      <c r="Q282" s="587"/>
      <c r="R282" s="565"/>
      <c r="S282" s="587"/>
      <c r="T282" s="521"/>
      <c r="U282" s="523"/>
      <c r="V282" s="506"/>
    </row>
    <row r="283" spans="1:22" s="507" customFormat="1" x14ac:dyDescent="0.35">
      <c r="A283" s="520"/>
      <c r="B283" s="521" t="s">
        <v>121</v>
      </c>
      <c r="C283" s="521"/>
      <c r="D283" s="521"/>
      <c r="E283" s="521"/>
      <c r="F283" s="521"/>
      <c r="G283" s="521"/>
      <c r="H283" s="590"/>
      <c r="I283" s="590"/>
      <c r="J283" s="590"/>
      <c r="K283" s="590"/>
      <c r="L283" s="590"/>
      <c r="M283" s="590"/>
      <c r="N283" s="590"/>
      <c r="O283" s="590"/>
      <c r="P283" s="564">
        <f>SUM(P274:P281)</f>
        <v>0</v>
      </c>
      <c r="Q283" s="587">
        <f>SUM(Q274:Q281)</f>
        <v>0</v>
      </c>
      <c r="R283" s="565">
        <f>SUM(R274:R281)</f>
        <v>0</v>
      </c>
      <c r="S283" s="587">
        <f>SUM(S274:S281)</f>
        <v>0</v>
      </c>
      <c r="T283" s="521"/>
      <c r="U283" s="523"/>
      <c r="V283" s="506"/>
    </row>
    <row r="284" spans="1:22" s="507" customFormat="1" x14ac:dyDescent="0.35">
      <c r="A284" s="520"/>
      <c r="B284" s="521"/>
      <c r="C284" s="521"/>
      <c r="D284" s="521"/>
      <c r="E284" s="521"/>
      <c r="F284" s="521"/>
      <c r="G284" s="521"/>
      <c r="H284" s="590"/>
      <c r="I284" s="590"/>
      <c r="J284" s="590"/>
      <c r="K284" s="590"/>
      <c r="L284" s="590"/>
      <c r="M284" s="590"/>
      <c r="N284" s="590"/>
      <c r="O284" s="590"/>
      <c r="P284" s="564"/>
      <c r="Q284" s="587"/>
      <c r="R284" s="565"/>
      <c r="S284" s="587"/>
      <c r="T284" s="521"/>
      <c r="U284" s="523"/>
      <c r="V284" s="506"/>
    </row>
    <row r="285" spans="1:22" s="507" customFormat="1" x14ac:dyDescent="0.35">
      <c r="A285" s="520"/>
      <c r="B285" s="526" t="s">
        <v>174</v>
      </c>
      <c r="C285" s="521"/>
      <c r="D285" s="521"/>
      <c r="E285" s="521"/>
      <c r="F285" s="521"/>
      <c r="G285" s="521"/>
      <c r="H285" s="590"/>
      <c r="I285" s="590"/>
      <c r="J285" s="590"/>
      <c r="K285" s="590"/>
      <c r="L285" s="590"/>
      <c r="M285" s="590"/>
      <c r="N285" s="590"/>
      <c r="O285" s="590"/>
      <c r="P285" s="591">
        <f>P283+P271+P259</f>
        <v>2368</v>
      </c>
      <c r="Q285" s="587"/>
      <c r="R285" s="592">
        <f>+R283+R271+R259</f>
        <v>312455</v>
      </c>
      <c r="S285" s="587"/>
      <c r="T285" s="521"/>
      <c r="U285" s="523"/>
      <c r="V285" s="506"/>
    </row>
    <row r="286" spans="1:22" s="507" customFormat="1" x14ac:dyDescent="0.35">
      <c r="A286" s="508"/>
      <c r="B286" s="554"/>
      <c r="C286" s="554"/>
      <c r="D286" s="554"/>
      <c r="E286" s="554"/>
      <c r="F286" s="554"/>
      <c r="G286" s="554"/>
      <c r="H286" s="593"/>
      <c r="I286" s="593"/>
      <c r="J286" s="593"/>
      <c r="K286" s="593"/>
      <c r="L286" s="593"/>
      <c r="M286" s="593"/>
      <c r="N286" s="593"/>
      <c r="O286" s="593"/>
      <c r="P286" s="593"/>
      <c r="Q286" s="593"/>
      <c r="R286" s="594"/>
      <c r="S286" s="593"/>
      <c r="T286" s="554"/>
      <c r="U286" s="554"/>
      <c r="V286" s="506"/>
    </row>
    <row r="287" spans="1:22" s="507" customFormat="1" x14ac:dyDescent="0.35">
      <c r="A287" s="508"/>
      <c r="B287" s="509"/>
      <c r="C287" s="509"/>
      <c r="D287" s="509"/>
      <c r="E287" s="509"/>
      <c r="F287" s="509"/>
      <c r="G287" s="509"/>
      <c r="H287" s="595"/>
      <c r="I287" s="595"/>
      <c r="J287" s="595"/>
      <c r="K287" s="595"/>
      <c r="L287" s="595"/>
      <c r="M287" s="595"/>
      <c r="N287" s="595"/>
      <c r="O287" s="595"/>
      <c r="P287" s="595"/>
      <c r="Q287" s="595"/>
      <c r="R287" s="596"/>
      <c r="S287" s="595"/>
      <c r="T287" s="509"/>
      <c r="U287" s="509"/>
      <c r="V287" s="506"/>
    </row>
    <row r="288" spans="1:22" s="507" customFormat="1" x14ac:dyDescent="0.35">
      <c r="A288" s="508"/>
      <c r="B288" s="503" t="s">
        <v>95</v>
      </c>
      <c r="C288" s="509"/>
      <c r="D288" s="509"/>
      <c r="E288" s="509"/>
      <c r="F288" s="514" t="s">
        <v>101</v>
      </c>
      <c r="G288" s="509"/>
      <c r="H288" s="503" t="s">
        <v>103</v>
      </c>
      <c r="I288" s="509"/>
      <c r="J288" s="509"/>
      <c r="K288" s="509"/>
      <c r="L288" s="509"/>
      <c r="M288" s="509"/>
      <c r="N288" s="509"/>
      <c r="O288" s="509"/>
      <c r="P288" s="509"/>
      <c r="Q288" s="509"/>
      <c r="R288" s="509"/>
      <c r="S288" s="509"/>
      <c r="T288" s="509"/>
      <c r="U288" s="509"/>
      <c r="V288" s="506"/>
    </row>
    <row r="289" spans="1:22" s="507" customFormat="1" x14ac:dyDescent="0.35">
      <c r="A289" s="508"/>
      <c r="B289" s="503" t="s">
        <v>330</v>
      </c>
      <c r="C289" s="503"/>
      <c r="D289" s="503"/>
      <c r="E289" s="503"/>
      <c r="F289" s="597" t="s">
        <v>278</v>
      </c>
      <c r="G289" s="503"/>
      <c r="H289" s="476" t="s">
        <v>362</v>
      </c>
      <c r="I289" s="509"/>
      <c r="J289" s="509"/>
      <c r="K289" s="509"/>
      <c r="L289" s="509"/>
      <c r="M289" s="509"/>
      <c r="N289" s="509"/>
      <c r="O289" s="509"/>
      <c r="P289" s="509"/>
      <c r="Q289" s="509"/>
      <c r="R289" s="509"/>
      <c r="S289" s="509"/>
      <c r="T289" s="509"/>
      <c r="U289" s="509"/>
      <c r="V289" s="506"/>
    </row>
    <row r="290" spans="1:22" s="507" customFormat="1" x14ac:dyDescent="0.35">
      <c r="A290" s="508"/>
      <c r="B290" s="503" t="s">
        <v>331</v>
      </c>
      <c r="C290" s="503"/>
      <c r="D290" s="503"/>
      <c r="E290" s="503"/>
      <c r="F290" s="597" t="s">
        <v>154</v>
      </c>
      <c r="G290" s="503"/>
      <c r="H290" s="476" t="s">
        <v>363</v>
      </c>
      <c r="I290" s="509"/>
      <c r="J290" s="509"/>
      <c r="K290" s="509"/>
      <c r="L290" s="509"/>
      <c r="M290" s="509"/>
      <c r="N290" s="509"/>
      <c r="O290" s="509"/>
      <c r="P290" s="509"/>
      <c r="Q290" s="509"/>
      <c r="R290" s="509"/>
      <c r="S290" s="509"/>
      <c r="T290" s="509"/>
      <c r="U290" s="509"/>
      <c r="V290" s="506"/>
    </row>
    <row r="291" spans="1:22" s="507" customFormat="1" x14ac:dyDescent="0.35">
      <c r="A291" s="508"/>
      <c r="B291" s="503"/>
      <c r="C291" s="503"/>
      <c r="D291" s="503"/>
      <c r="E291" s="503"/>
      <c r="F291" s="597"/>
      <c r="G291" s="503"/>
      <c r="H291" s="503"/>
      <c r="I291" s="509"/>
      <c r="J291" s="509"/>
      <c r="K291" s="509"/>
      <c r="L291" s="509"/>
      <c r="M291" s="509"/>
      <c r="N291" s="509"/>
      <c r="O291" s="509"/>
      <c r="P291" s="509"/>
      <c r="Q291" s="509"/>
      <c r="R291" s="509"/>
      <c r="S291" s="509"/>
      <c r="T291" s="509"/>
      <c r="U291" s="509"/>
      <c r="V291" s="506"/>
    </row>
    <row r="292" spans="1:22" s="507" customFormat="1" x14ac:dyDescent="0.35">
      <c r="A292" s="508"/>
      <c r="B292" s="554" t="s">
        <v>358</v>
      </c>
      <c r="C292" s="503"/>
      <c r="D292" s="503"/>
      <c r="E292" s="503"/>
      <c r="F292" s="597"/>
      <c r="G292" s="503"/>
      <c r="H292" s="503"/>
      <c r="I292" s="509"/>
      <c r="J292" s="509"/>
      <c r="K292" s="509"/>
      <c r="L292" s="509"/>
      <c r="M292" s="509"/>
      <c r="N292" s="509"/>
      <c r="O292" s="509"/>
      <c r="P292" s="509"/>
      <c r="Q292" s="509"/>
      <c r="R292" s="509"/>
      <c r="S292" s="509"/>
      <c r="T292" s="509"/>
      <c r="U292" s="509"/>
      <c r="V292" s="506"/>
    </row>
    <row r="293" spans="1:22" s="507" customFormat="1" x14ac:dyDescent="0.35">
      <c r="A293" s="508"/>
      <c r="B293" s="554" t="s">
        <v>364</v>
      </c>
      <c r="C293" s="503"/>
      <c r="D293" s="503"/>
      <c r="E293" s="503"/>
      <c r="F293" s="597"/>
      <c r="G293" s="503"/>
      <c r="H293" s="503"/>
      <c r="I293" s="509"/>
      <c r="J293" s="509"/>
      <c r="K293" s="509"/>
      <c r="L293" s="509"/>
      <c r="M293" s="509"/>
      <c r="N293" s="509"/>
      <c r="O293" s="509"/>
      <c r="P293" s="509"/>
      <c r="Q293" s="509"/>
      <c r="R293" s="509"/>
      <c r="S293" s="509"/>
      <c r="T293" s="509"/>
      <c r="U293" s="509"/>
      <c r="V293" s="506"/>
    </row>
    <row r="294" spans="1:22" s="507" customFormat="1" x14ac:dyDescent="0.35">
      <c r="A294" s="508"/>
      <c r="B294" s="554" t="s">
        <v>357</v>
      </c>
      <c r="C294" s="503"/>
      <c r="D294" s="503"/>
      <c r="E294" s="503"/>
      <c r="F294" s="597"/>
      <c r="G294" s="503"/>
      <c r="H294" s="503"/>
      <c r="I294" s="509"/>
      <c r="J294" s="509"/>
      <c r="K294" s="509"/>
      <c r="L294" s="509"/>
      <c r="M294" s="509"/>
      <c r="N294" s="509"/>
      <c r="O294" s="509"/>
      <c r="P294" s="509"/>
      <c r="Q294" s="509"/>
      <c r="R294" s="509"/>
      <c r="S294" s="509"/>
      <c r="T294" s="509"/>
      <c r="U294" s="509"/>
      <c r="V294" s="506"/>
    </row>
    <row r="295" spans="1:22" s="507" customFormat="1" x14ac:dyDescent="0.35">
      <c r="A295" s="508"/>
      <c r="B295" s="554" t="s">
        <v>356</v>
      </c>
      <c r="C295" s="503"/>
      <c r="D295" s="503"/>
      <c r="E295" s="503"/>
      <c r="F295" s="597"/>
      <c r="G295" s="503"/>
      <c r="H295" s="503"/>
      <c r="I295" s="509"/>
      <c r="J295" s="509"/>
      <c r="K295" s="509"/>
      <c r="L295" s="509"/>
      <c r="M295" s="509"/>
      <c r="N295" s="509"/>
      <c r="O295" s="509"/>
      <c r="P295" s="509"/>
      <c r="Q295" s="509"/>
      <c r="R295" s="509"/>
      <c r="S295" s="509"/>
      <c r="T295" s="509"/>
      <c r="U295" s="509"/>
      <c r="V295" s="506"/>
    </row>
    <row r="296" spans="1:22" x14ac:dyDescent="0.35">
      <c r="A296" s="407"/>
      <c r="B296" s="423"/>
      <c r="C296" s="414"/>
      <c r="D296" s="414"/>
      <c r="E296" s="414"/>
      <c r="F296" s="471"/>
      <c r="G296" s="414"/>
      <c r="H296" s="414"/>
      <c r="I296" s="424"/>
      <c r="J296" s="424"/>
      <c r="K296" s="424"/>
      <c r="L296" s="424"/>
      <c r="M296" s="424"/>
      <c r="N296" s="424"/>
      <c r="O296" s="424"/>
      <c r="P296" s="424"/>
      <c r="Q296" s="424"/>
      <c r="R296" s="424"/>
      <c r="S296" s="424"/>
      <c r="T296" s="424"/>
      <c r="U296" s="424"/>
      <c r="V296" s="405"/>
    </row>
    <row r="297" spans="1:22" ht="18.5" x14ac:dyDescent="0.45">
      <c r="A297" s="407"/>
      <c r="B297" s="477" t="s">
        <v>359</v>
      </c>
      <c r="C297" s="414"/>
      <c r="D297" s="414"/>
      <c r="E297" s="414"/>
      <c r="F297" s="414"/>
      <c r="G297" s="414"/>
      <c r="H297" s="424"/>
      <c r="I297" s="424"/>
      <c r="J297" s="424"/>
      <c r="K297" s="424"/>
      <c r="L297" s="409"/>
      <c r="M297" s="409"/>
      <c r="N297" s="472"/>
      <c r="O297" s="409"/>
      <c r="P297" s="474" t="s">
        <v>361</v>
      </c>
      <c r="Q297" s="424"/>
      <c r="R297" s="424"/>
      <c r="S297" s="424"/>
      <c r="T297" s="424"/>
      <c r="U297" s="424"/>
      <c r="V297" s="405"/>
    </row>
    <row r="298" spans="1:22" x14ac:dyDescent="0.35">
      <c r="A298" s="407"/>
      <c r="B298" s="414"/>
      <c r="C298" s="414"/>
      <c r="D298" s="414"/>
      <c r="E298" s="414"/>
      <c r="F298" s="414"/>
      <c r="G298" s="414"/>
      <c r="H298" s="424"/>
      <c r="I298" s="424"/>
      <c r="J298" s="424"/>
      <c r="K298" s="424"/>
      <c r="L298" s="424"/>
      <c r="M298" s="424"/>
      <c r="N298" s="424"/>
      <c r="O298" s="424"/>
      <c r="P298" s="424"/>
      <c r="Q298" s="424"/>
      <c r="R298" s="424"/>
      <c r="S298" s="424"/>
      <c r="T298" s="424"/>
      <c r="U298" s="424"/>
      <c r="V298" s="405"/>
    </row>
    <row r="299" spans="1:22" ht="19" thickBot="1" x14ac:dyDescent="0.5">
      <c r="A299" s="407"/>
      <c r="B299" s="598" t="str">
        <f>B199</f>
        <v>PM10 INVESTOR REPORT QUARTER ENDING FEBRUARY 2020</v>
      </c>
      <c r="C299" s="414"/>
      <c r="D299" s="414"/>
      <c r="E299" s="414"/>
      <c r="F299" s="414"/>
      <c r="G299" s="414"/>
      <c r="H299" s="424"/>
      <c r="I299" s="424"/>
      <c r="J299" s="424"/>
      <c r="K299" s="424"/>
      <c r="L299" s="424"/>
      <c r="M299" s="424"/>
      <c r="N299" s="424"/>
      <c r="O299" s="424"/>
      <c r="P299" s="424"/>
      <c r="Q299" s="424"/>
      <c r="R299" s="424"/>
      <c r="S299" s="424"/>
      <c r="T299" s="424"/>
      <c r="U299" s="424"/>
      <c r="V299" s="405"/>
    </row>
    <row r="300" spans="1:22" x14ac:dyDescent="0.35">
      <c r="A300" s="473"/>
      <c r="B300" s="473"/>
      <c r="C300" s="473"/>
      <c r="D300" s="473"/>
      <c r="E300" s="473"/>
      <c r="F300" s="473"/>
      <c r="G300" s="473"/>
      <c r="H300" s="473"/>
      <c r="I300" s="473"/>
      <c r="J300" s="473"/>
      <c r="K300" s="473"/>
      <c r="L300" s="473"/>
      <c r="M300" s="473"/>
      <c r="N300" s="473"/>
      <c r="O300" s="473"/>
      <c r="P300" s="473"/>
      <c r="Q300" s="473"/>
      <c r="R300" s="473"/>
      <c r="S300" s="473"/>
      <c r="T300" s="473"/>
      <c r="U300" s="473"/>
    </row>
  </sheetData>
  <hyperlinks>
    <hyperlink ref="J9" r:id="rId1" xr:uid="{B7193268-2FBF-4C4F-B762-CB3E8CE0AF54}"/>
    <hyperlink ref="N235" r:id="rId2" xr:uid="{1009B676-7C46-43DA-9457-4D2BB3C40326}"/>
    <hyperlink ref="P297" r:id="rId3" xr:uid="{D708A8EC-4FA1-434E-B788-B8EEB3C448BD}"/>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8" max="14" man="1"/>
    <brk id="199" max="14" man="1"/>
  </rowBreaks>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20DC-FA9E-4754-9776-50E0B4670E07}">
  <sheetPr>
    <tabColor rgb="FF89CB31"/>
  </sheetPr>
  <dimension ref="A1:Z337"/>
  <sheetViews>
    <sheetView showGridLines="0"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0.69690273415037807</v>
      </c>
      <c r="R16" s="514" t="s">
        <v>147</v>
      </c>
      <c r="S16" s="513">
        <v>0.30309726584962193</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44001</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175</v>
      </c>
      <c r="K27" s="525"/>
      <c r="L27" s="525" t="s">
        <v>175</v>
      </c>
      <c r="M27" s="525"/>
      <c r="N27" s="525" t="s">
        <v>320</v>
      </c>
      <c r="O27" s="525"/>
      <c r="P27" s="525" t="s">
        <v>320</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380</v>
      </c>
      <c r="O28" s="525"/>
      <c r="P28" s="525" t="s">
        <v>380</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0</v>
      </c>
      <c r="E32" s="528"/>
      <c r="F32" s="529">
        <f>F31*F38</f>
        <v>99194.990999999995</v>
      </c>
      <c r="G32" s="529"/>
      <c r="H32" s="533">
        <f>H31*H38</f>
        <v>209726.55239999999</v>
      </c>
      <c r="I32" s="529"/>
      <c r="J32" s="529">
        <f>J31*J38</f>
        <v>19413.3966</v>
      </c>
      <c r="K32" s="529"/>
      <c r="L32" s="533">
        <f>L31*L38</f>
        <v>12211.652699999999</v>
      </c>
      <c r="M32" s="529"/>
      <c r="N32" s="534">
        <f>N31*N38</f>
        <v>32251.287899999999</v>
      </c>
      <c r="O32" s="529"/>
      <c r="P32" s="533">
        <f>P31*P38</f>
        <v>17221.5615</v>
      </c>
      <c r="Q32" s="529"/>
      <c r="R32" s="529"/>
      <c r="S32" s="528"/>
      <c r="T32" s="529"/>
      <c r="U32" s="530"/>
      <c r="V32" s="506"/>
    </row>
    <row r="33" spans="1:26" s="507" customFormat="1" x14ac:dyDescent="0.35">
      <c r="A33" s="520"/>
      <c r="B33" s="526" t="s">
        <v>141</v>
      </c>
      <c r="C33" s="528"/>
      <c r="D33" s="536">
        <f>D34*D37</f>
        <v>0</v>
      </c>
      <c r="E33" s="531"/>
      <c r="F33" s="535">
        <f>F37*F31</f>
        <v>97652.183999999994</v>
      </c>
      <c r="G33" s="535"/>
      <c r="H33" s="537">
        <f>H31*H37</f>
        <v>206464.6176</v>
      </c>
      <c r="I33" s="535"/>
      <c r="J33" s="535">
        <f>J31*J37</f>
        <v>19111.456600000001</v>
      </c>
      <c r="K33" s="535"/>
      <c r="L33" s="537">
        <f>L31*L37</f>
        <v>12021.7227</v>
      </c>
      <c r="M33" s="535"/>
      <c r="N33" s="535">
        <f>N31*N37</f>
        <v>31749.677899999999</v>
      </c>
      <c r="O33" s="535"/>
      <c r="P33" s="537">
        <f>P31*P37</f>
        <v>16953.711500000001</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0</v>
      </c>
      <c r="E35" s="528"/>
      <c r="F35" s="529">
        <f>F34*F38</f>
        <v>99194.990999999995</v>
      </c>
      <c r="G35" s="529"/>
      <c r="H35" s="529">
        <f>H34*H38</f>
        <v>141707.13</v>
      </c>
      <c r="I35" s="529"/>
      <c r="J35" s="529">
        <f>J32</f>
        <v>19413.3966</v>
      </c>
      <c r="K35" s="529"/>
      <c r="L35" s="529">
        <f>L34*L38</f>
        <v>8251.3197935999997</v>
      </c>
      <c r="M35" s="529"/>
      <c r="N35" s="529">
        <f>N32</f>
        <v>32251.287899999999</v>
      </c>
      <c r="O35" s="529"/>
      <c r="P35" s="529">
        <f>P34*P38</f>
        <v>11636.139426599999</v>
      </c>
      <c r="Q35" s="529"/>
      <c r="R35" s="529"/>
      <c r="S35" s="528"/>
      <c r="T35" s="529">
        <f>SUM(C35:P35)+1</f>
        <v>312455.26472019998</v>
      </c>
      <c r="U35" s="530"/>
      <c r="V35" s="506"/>
      <c r="X35" s="538"/>
      <c r="Z35" s="538"/>
    </row>
    <row r="36" spans="1:26" s="507" customFormat="1" x14ac:dyDescent="0.35">
      <c r="A36" s="524"/>
      <c r="B36" s="526" t="s">
        <v>298</v>
      </c>
      <c r="C36" s="531"/>
      <c r="D36" s="535">
        <f>D37*D34</f>
        <v>0</v>
      </c>
      <c r="E36" s="531"/>
      <c r="F36" s="535">
        <f>F37*F34</f>
        <v>97652.183999999994</v>
      </c>
      <c r="G36" s="535"/>
      <c r="H36" s="535">
        <f>H37*H34</f>
        <v>139503.12</v>
      </c>
      <c r="I36" s="535"/>
      <c r="J36" s="535">
        <f>J37*J34</f>
        <v>19111.456600000001</v>
      </c>
      <c r="K36" s="535"/>
      <c r="L36" s="535">
        <f>L37*L34</f>
        <v>8122.9855536000005</v>
      </c>
      <c r="M36" s="535"/>
      <c r="N36" s="535">
        <f>N37*N34</f>
        <v>31749.677899999999</v>
      </c>
      <c r="O36" s="535"/>
      <c r="P36" s="535">
        <f>P34*P37</f>
        <v>11455.1604866</v>
      </c>
      <c r="Q36" s="539"/>
      <c r="R36" s="539"/>
      <c r="S36" s="528"/>
      <c r="T36" s="535">
        <f>SUM(C36:P36)</f>
        <v>307594.58454020001</v>
      </c>
      <c r="U36" s="530"/>
      <c r="V36" s="506"/>
      <c r="X36" s="538"/>
      <c r="Z36" s="538"/>
    </row>
    <row r="37" spans="1:26" s="491" customFormat="1" x14ac:dyDescent="0.35">
      <c r="A37" s="492"/>
      <c r="B37" s="479" t="s">
        <v>137</v>
      </c>
      <c r="C37" s="493"/>
      <c r="D37" s="494">
        <v>0</v>
      </c>
      <c r="E37" s="495"/>
      <c r="F37" s="494">
        <v>0.93002079999999998</v>
      </c>
      <c r="G37" s="494"/>
      <c r="H37" s="494">
        <v>0.93002079999999998</v>
      </c>
      <c r="I37" s="494"/>
      <c r="J37" s="494">
        <v>0.61649860000000001</v>
      </c>
      <c r="K37" s="494"/>
      <c r="L37" s="494">
        <v>0.61649860000000001</v>
      </c>
      <c r="M37" s="494"/>
      <c r="N37" s="494">
        <v>0.61649860000000001</v>
      </c>
      <c r="O37" s="494"/>
      <c r="P37" s="494">
        <v>0.61649860000000001</v>
      </c>
      <c r="Q37" s="496"/>
      <c r="R37" s="496"/>
      <c r="S37" s="493"/>
      <c r="T37" s="493"/>
      <c r="U37" s="497"/>
      <c r="V37" s="490"/>
    </row>
    <row r="38" spans="1:26" s="491" customFormat="1" x14ac:dyDescent="0.35">
      <c r="A38" s="492"/>
      <c r="B38" s="479" t="s">
        <v>138</v>
      </c>
      <c r="C38" s="493"/>
      <c r="D38" s="494">
        <v>0</v>
      </c>
      <c r="E38" s="495"/>
      <c r="F38" s="494">
        <v>0.94471419999999995</v>
      </c>
      <c r="G38" s="494"/>
      <c r="H38" s="494">
        <v>0.94471419999999995</v>
      </c>
      <c r="I38" s="494"/>
      <c r="J38" s="494">
        <v>0.62623859999999998</v>
      </c>
      <c r="K38" s="494"/>
      <c r="L38" s="494">
        <v>0.62623859999999998</v>
      </c>
      <c r="M38" s="494"/>
      <c r="N38" s="494">
        <v>0.62623859999999998</v>
      </c>
      <c r="O38" s="494"/>
      <c r="P38" s="494">
        <v>0.62623859999999998</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0</v>
      </c>
      <c r="E40" s="521"/>
      <c r="F40" s="541">
        <v>8.0675E-3</v>
      </c>
      <c r="G40" s="540"/>
      <c r="H40" s="541">
        <v>0</v>
      </c>
      <c r="I40" s="540"/>
      <c r="J40" s="541">
        <v>1.0267500000000001E-2</v>
      </c>
      <c r="K40" s="540"/>
      <c r="L40" s="541">
        <v>5.1000000000000004E-4</v>
      </c>
      <c r="M40" s="540"/>
      <c r="N40" s="541">
        <v>1.58675E-2</v>
      </c>
      <c r="O40" s="540"/>
      <c r="P40" s="541">
        <v>6.11E-3</v>
      </c>
      <c r="Q40" s="540"/>
      <c r="R40" s="541"/>
      <c r="S40" s="521"/>
      <c r="T40" s="527"/>
      <c r="U40" s="523"/>
      <c r="V40" s="506"/>
    </row>
    <row r="41" spans="1:26" s="507" customFormat="1" x14ac:dyDescent="0.35">
      <c r="A41" s="520"/>
      <c r="B41" s="521" t="s">
        <v>13</v>
      </c>
      <c r="C41" s="521"/>
      <c r="D41" s="541">
        <v>0</v>
      </c>
      <c r="E41" s="521"/>
      <c r="F41" s="541">
        <v>1.1174999999999999E-2</v>
      </c>
      <c r="G41" s="540"/>
      <c r="H41" s="541">
        <v>0</v>
      </c>
      <c r="I41" s="540"/>
      <c r="J41" s="541">
        <v>1.3375E-2</v>
      </c>
      <c r="K41" s="540"/>
      <c r="L41" s="541">
        <v>1.4499999999999999E-3</v>
      </c>
      <c r="M41" s="540"/>
      <c r="N41" s="541">
        <v>1.8974999999999999E-2</v>
      </c>
      <c r="O41" s="540"/>
      <c r="P41" s="541">
        <v>7.0499999999999998E-3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0</v>
      </c>
      <c r="E43" s="521"/>
      <c r="F43" s="541">
        <f>+F40</f>
        <v>8.0675E-3</v>
      </c>
      <c r="G43" s="540"/>
      <c r="H43" s="541">
        <v>8.5175000000000008E-3</v>
      </c>
      <c r="I43" s="540"/>
      <c r="J43" s="541">
        <f>+J40</f>
        <v>1.0267500000000001E-2</v>
      </c>
      <c r="K43" s="540"/>
      <c r="L43" s="541">
        <v>1.09975E-2</v>
      </c>
      <c r="M43" s="540"/>
      <c r="N43" s="541">
        <f>+N40</f>
        <v>1.58675E-2</v>
      </c>
      <c r="O43" s="540"/>
      <c r="P43" s="541">
        <v>1.7097500000000002E-2</v>
      </c>
      <c r="Q43" s="527"/>
      <c r="R43" s="527"/>
      <c r="S43" s="521"/>
      <c r="T43" s="540">
        <f>SUMPRODUCT(D43:P43,D35:P35)/T35</f>
        <v>9.627020418367091E-3</v>
      </c>
      <c r="U43" s="523"/>
      <c r="V43" s="506"/>
    </row>
    <row r="44" spans="1:26" s="507" customFormat="1" x14ac:dyDescent="0.35">
      <c r="A44" s="520"/>
      <c r="B44" s="521" t="s">
        <v>301</v>
      </c>
      <c r="C44" s="542"/>
      <c r="D44" s="541">
        <f>+D41</f>
        <v>0</v>
      </c>
      <c r="E44" s="521"/>
      <c r="F44" s="541">
        <v>1.1174999999999999E-2</v>
      </c>
      <c r="G44" s="540"/>
      <c r="H44" s="541">
        <v>1.1625E-2</v>
      </c>
      <c r="I44" s="540"/>
      <c r="J44" s="541">
        <v>1.3375E-2</v>
      </c>
      <c r="K44" s="540"/>
      <c r="L44" s="541">
        <v>1.4104999999999999E-2</v>
      </c>
      <c r="M44" s="540"/>
      <c r="N44" s="541">
        <v>1.8974999999999999E-2</v>
      </c>
      <c r="O44" s="540"/>
      <c r="P44" s="541">
        <v>2.0205000000000001E-2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f>SUM(J36:P36)/SUM(D36:H36)</f>
        <v>0.29701752122819902</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43997</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91</v>
      </c>
      <c r="Q56" s="521"/>
      <c r="R56" s="551">
        <v>43815</v>
      </c>
      <c r="S56" s="552"/>
      <c r="T56" s="551">
        <v>43905</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91</v>
      </c>
      <c r="Q57" s="521"/>
      <c r="R57" s="551">
        <v>43906</v>
      </c>
      <c r="S57" s="552"/>
      <c r="T57" s="551">
        <v>43996</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43983</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381</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312455</v>
      </c>
      <c r="M67" s="564"/>
      <c r="N67" s="564">
        <v>4860</v>
      </c>
      <c r="O67" s="564"/>
      <c r="P67" s="564">
        <v>0</v>
      </c>
      <c r="Q67" s="564"/>
      <c r="R67" s="564">
        <v>0</v>
      </c>
      <c r="S67" s="564"/>
      <c r="T67" s="565">
        <f>+L67-N67+P67-R67</f>
        <v>307595</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312455</v>
      </c>
      <c r="M70" s="564"/>
      <c r="N70" s="564">
        <f>SUM(N67:N69)</f>
        <v>4860</v>
      </c>
      <c r="O70" s="564"/>
      <c r="P70" s="564">
        <f>SUM(P67:P69)</f>
        <v>0</v>
      </c>
      <c r="Q70" s="564"/>
      <c r="R70" s="564">
        <f>SUM(R67:R69)</f>
        <v>0</v>
      </c>
      <c r="S70" s="564"/>
      <c r="T70" s="564">
        <f>SUM(T67:T69)</f>
        <v>307595</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312455</v>
      </c>
      <c r="M83" s="564"/>
      <c r="N83" s="564"/>
      <c r="O83" s="564"/>
      <c r="P83" s="564"/>
      <c r="Q83" s="564"/>
      <c r="R83" s="564"/>
      <c r="S83" s="564"/>
      <c r="T83" s="564">
        <f>SUM(T70:T82)</f>
        <v>307595</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+R200</f>
        <v>43980</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4860-194</f>
        <v>4666</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1326+817-38-244-292</f>
        <v>1569</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92+9</f>
        <v>101</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40</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0</v>
      </c>
      <c r="U94" s="523"/>
      <c r="V94" s="506"/>
    </row>
    <row r="95" spans="1:22" s="507" customFormat="1" x14ac:dyDescent="0.35">
      <c r="A95" s="520"/>
      <c r="B95" s="521" t="s">
        <v>30</v>
      </c>
      <c r="C95" s="521"/>
      <c r="D95" s="521"/>
      <c r="E95" s="521"/>
      <c r="F95" s="521"/>
      <c r="G95" s="521"/>
      <c r="H95" s="521"/>
      <c r="I95" s="521"/>
      <c r="J95" s="521"/>
      <c r="K95" s="521"/>
      <c r="L95" s="521"/>
      <c r="M95" s="521"/>
      <c r="N95" s="521"/>
      <c r="O95" s="521"/>
      <c r="P95" s="521"/>
      <c r="Q95" s="521"/>
      <c r="R95" s="564">
        <f>SUM(R87:R94)</f>
        <v>4666</v>
      </c>
      <c r="S95" s="521"/>
      <c r="T95" s="564">
        <f>SUM(T87:T94)</f>
        <v>1710</v>
      </c>
      <c r="U95" s="523"/>
      <c r="V95" s="506"/>
    </row>
    <row r="96" spans="1:22" s="507" customFormat="1" x14ac:dyDescent="0.35">
      <c r="A96" s="520"/>
      <c r="B96" s="521" t="s">
        <v>170</v>
      </c>
      <c r="C96" s="521"/>
      <c r="D96" s="521"/>
      <c r="E96" s="521"/>
      <c r="F96" s="521"/>
      <c r="G96" s="521"/>
      <c r="H96" s="521"/>
      <c r="I96" s="521"/>
      <c r="J96" s="521"/>
      <c r="K96" s="521"/>
      <c r="L96" s="521"/>
      <c r="M96" s="521"/>
      <c r="N96" s="521"/>
      <c r="O96" s="521"/>
      <c r="P96" s="521"/>
      <c r="Q96" s="521"/>
      <c r="R96" s="564">
        <f>-T96</f>
        <v>0</v>
      </c>
      <c r="S96" s="521"/>
      <c r="T96" s="564">
        <v>0</v>
      </c>
      <c r="U96" s="523"/>
      <c r="V96" s="506"/>
    </row>
    <row r="97" spans="1:23" s="507" customFormat="1" x14ac:dyDescent="0.35">
      <c r="A97" s="520"/>
      <c r="B97" s="521" t="s">
        <v>31</v>
      </c>
      <c r="C97" s="521"/>
      <c r="D97" s="521"/>
      <c r="E97" s="521"/>
      <c r="F97" s="521"/>
      <c r="G97" s="521"/>
      <c r="H97" s="521"/>
      <c r="I97" s="521"/>
      <c r="J97" s="521"/>
      <c r="K97" s="521"/>
      <c r="L97" s="521"/>
      <c r="M97" s="521"/>
      <c r="N97" s="521"/>
      <c r="O97" s="521"/>
      <c r="P97" s="521"/>
      <c r="Q97" s="521"/>
      <c r="R97" s="564">
        <f>-T97</f>
        <v>0</v>
      </c>
      <c r="S97" s="521"/>
      <c r="T97" s="565">
        <v>0</v>
      </c>
      <c r="U97" s="523"/>
      <c r="V97" s="506"/>
    </row>
    <row r="98" spans="1:23" s="507" customFormat="1" x14ac:dyDescent="0.35">
      <c r="A98" s="520"/>
      <c r="B98" s="521" t="s">
        <v>285</v>
      </c>
      <c r="C98" s="521"/>
      <c r="D98" s="521"/>
      <c r="E98" s="521"/>
      <c r="F98" s="521"/>
      <c r="G98" s="521"/>
      <c r="H98" s="521"/>
      <c r="I98" s="521"/>
      <c r="J98" s="521"/>
      <c r="K98" s="521"/>
      <c r="L98" s="521"/>
      <c r="M98" s="521"/>
      <c r="N98" s="521"/>
      <c r="O98" s="521"/>
      <c r="P98" s="521"/>
      <c r="Q98" s="521"/>
      <c r="R98" s="564"/>
      <c r="S98" s="521"/>
      <c r="T98" s="565">
        <v>122</v>
      </c>
      <c r="U98" s="523"/>
      <c r="V98" s="506"/>
    </row>
    <row r="99" spans="1:23" s="507" customFormat="1" x14ac:dyDescent="0.35">
      <c r="A99" s="520"/>
      <c r="B99" s="521" t="s">
        <v>32</v>
      </c>
      <c r="C99" s="521"/>
      <c r="D99" s="521"/>
      <c r="E99" s="521"/>
      <c r="F99" s="521"/>
      <c r="G99" s="521"/>
      <c r="H99" s="521"/>
      <c r="I99" s="521"/>
      <c r="J99" s="521"/>
      <c r="K99" s="521"/>
      <c r="L99" s="521"/>
      <c r="M99" s="521"/>
      <c r="N99" s="521"/>
      <c r="O99" s="521"/>
      <c r="P99" s="521"/>
      <c r="Q99" s="521"/>
      <c r="R99" s="564">
        <f>R95+R97+R96</f>
        <v>4666</v>
      </c>
      <c r="S99" s="521"/>
      <c r="T99" s="564">
        <f>T95+T97+T96+T98</f>
        <v>1832</v>
      </c>
      <c r="U99" s="523"/>
      <c r="V99" s="506"/>
    </row>
    <row r="100" spans="1:23" x14ac:dyDescent="0.35">
      <c r="A100" s="420"/>
      <c r="B100" s="483" t="s">
        <v>33</v>
      </c>
      <c r="C100" s="421"/>
      <c r="D100" s="421"/>
      <c r="E100" s="421"/>
      <c r="F100" s="421"/>
      <c r="G100" s="421"/>
      <c r="H100" s="421"/>
      <c r="I100" s="421"/>
      <c r="J100" s="421"/>
      <c r="K100" s="421"/>
      <c r="L100" s="421"/>
      <c r="M100" s="421"/>
      <c r="N100" s="421"/>
      <c r="O100" s="421"/>
      <c r="P100" s="421"/>
      <c r="Q100" s="421"/>
      <c r="R100" s="432"/>
      <c r="S100" s="421"/>
      <c r="T100" s="433"/>
      <c r="U100" s="422"/>
      <c r="V100" s="405"/>
    </row>
    <row r="101" spans="1:23" s="507" customFormat="1" x14ac:dyDescent="0.35">
      <c r="A101" s="520">
        <v>1</v>
      </c>
      <c r="B101" s="521" t="s">
        <v>34</v>
      </c>
      <c r="C101" s="521"/>
      <c r="D101" s="521"/>
      <c r="E101" s="521"/>
      <c r="F101" s="521"/>
      <c r="G101" s="521"/>
      <c r="H101" s="521"/>
      <c r="I101" s="521"/>
      <c r="J101" s="521"/>
      <c r="K101" s="521"/>
      <c r="L101" s="521"/>
      <c r="M101" s="521"/>
      <c r="N101" s="521"/>
      <c r="O101" s="521"/>
      <c r="P101" s="521"/>
      <c r="Q101" s="521"/>
      <c r="R101" s="521"/>
      <c r="S101" s="521"/>
      <c r="T101" s="565">
        <v>0</v>
      </c>
      <c r="U101" s="523"/>
      <c r="V101" s="506"/>
    </row>
    <row r="102" spans="1:23" s="507" customFormat="1" x14ac:dyDescent="0.35">
      <c r="A102" s="520">
        <f>+A101+1</f>
        <v>2</v>
      </c>
      <c r="B102" s="568" t="s">
        <v>325</v>
      </c>
      <c r="C102" s="521"/>
      <c r="D102" s="521"/>
      <c r="E102" s="521"/>
      <c r="F102" s="521"/>
      <c r="G102" s="521"/>
      <c r="H102" s="521"/>
      <c r="I102" s="521"/>
      <c r="J102" s="521"/>
      <c r="K102" s="521"/>
      <c r="L102" s="521"/>
      <c r="M102" s="521"/>
      <c r="N102" s="521"/>
      <c r="O102" s="521"/>
      <c r="P102" s="521"/>
      <c r="Q102" s="521"/>
      <c r="R102" s="521"/>
      <c r="S102" s="521"/>
      <c r="T102" s="565">
        <v>-2</v>
      </c>
      <c r="U102" s="523"/>
      <c r="V102" s="506"/>
    </row>
    <row r="103" spans="1:23" s="507" customFormat="1" x14ac:dyDescent="0.35">
      <c r="A103" s="520">
        <f>+A102+1</f>
        <v>3</v>
      </c>
      <c r="B103" s="568" t="s">
        <v>327</v>
      </c>
      <c r="C103" s="521"/>
      <c r="D103" s="521"/>
      <c r="E103" s="521"/>
      <c r="F103" s="521"/>
      <c r="G103" s="521"/>
      <c r="H103" s="521"/>
      <c r="I103" s="521"/>
      <c r="J103" s="521"/>
      <c r="K103" s="521"/>
      <c r="L103" s="521"/>
      <c r="M103" s="521"/>
      <c r="N103" s="521"/>
      <c r="O103" s="521"/>
      <c r="P103" s="521"/>
      <c r="Q103" s="521"/>
      <c r="R103" s="521"/>
      <c r="S103" s="521"/>
      <c r="T103" s="565">
        <f>-121-64-4</f>
        <v>-189</v>
      </c>
      <c r="U103" s="523"/>
      <c r="V103" s="506"/>
    </row>
    <row r="104" spans="1:23" s="507" customFormat="1" x14ac:dyDescent="0.35">
      <c r="A104" s="520" t="s">
        <v>134</v>
      </c>
      <c r="B104" s="521" t="s">
        <v>123</v>
      </c>
      <c r="C104" s="521"/>
      <c r="D104" s="521"/>
      <c r="E104" s="521"/>
      <c r="F104" s="521"/>
      <c r="G104" s="521"/>
      <c r="H104" s="521"/>
      <c r="I104" s="521"/>
      <c r="J104" s="521"/>
      <c r="K104" s="521"/>
      <c r="L104" s="521"/>
      <c r="M104" s="521"/>
      <c r="N104" s="521"/>
      <c r="O104" s="521"/>
      <c r="P104" s="521"/>
      <c r="Q104" s="521"/>
      <c r="R104" s="521"/>
      <c r="S104" s="521"/>
      <c r="T104" s="565">
        <v>0</v>
      </c>
      <c r="U104" s="523"/>
      <c r="V104" s="506"/>
    </row>
    <row r="105" spans="1:23" s="507" customFormat="1" x14ac:dyDescent="0.35">
      <c r="A105" s="520" t="s">
        <v>135</v>
      </c>
      <c r="B105" s="521" t="s">
        <v>169</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157</v>
      </c>
      <c r="B106" s="521" t="s">
        <v>353</v>
      </c>
      <c r="C106" s="521"/>
      <c r="D106" s="521"/>
      <c r="E106" s="521"/>
      <c r="F106" s="521"/>
      <c r="G106" s="521"/>
      <c r="H106" s="521"/>
      <c r="I106" s="521"/>
      <c r="J106" s="521"/>
      <c r="K106" s="521"/>
      <c r="L106" s="521"/>
      <c r="M106" s="521"/>
      <c r="N106" s="521"/>
      <c r="O106" s="521"/>
      <c r="P106" s="521"/>
      <c r="Q106" s="521"/>
      <c r="R106" s="521"/>
      <c r="S106" s="521"/>
      <c r="T106" s="565">
        <v>-200</v>
      </c>
      <c r="U106" s="523"/>
      <c r="V106" s="569"/>
      <c r="W106" s="570"/>
    </row>
    <row r="107" spans="1:23" s="507" customFormat="1" x14ac:dyDescent="0.35">
      <c r="A107" s="520" t="s">
        <v>158</v>
      </c>
      <c r="B107" s="521" t="s">
        <v>354</v>
      </c>
      <c r="C107" s="521"/>
      <c r="D107" s="521"/>
      <c r="E107" s="521"/>
      <c r="F107" s="521"/>
      <c r="G107" s="521"/>
      <c r="H107" s="521"/>
      <c r="I107" s="521"/>
      <c r="J107" s="521"/>
      <c r="K107" s="521"/>
      <c r="L107" s="521"/>
      <c r="M107" s="521"/>
      <c r="N107" s="521"/>
      <c r="O107" s="521"/>
      <c r="P107" s="521"/>
      <c r="Q107" s="521"/>
      <c r="R107" s="521"/>
      <c r="S107" s="521"/>
      <c r="T107" s="565">
        <v>-301</v>
      </c>
      <c r="U107" s="523"/>
      <c r="V107" s="506"/>
      <c r="W107" s="570"/>
    </row>
    <row r="108" spans="1:23" s="507" customFormat="1" x14ac:dyDescent="0.35">
      <c r="A108" s="520" t="s">
        <v>247</v>
      </c>
      <c r="B108" s="521" t="s">
        <v>214</v>
      </c>
      <c r="C108" s="521"/>
      <c r="D108" s="521"/>
      <c r="E108" s="521"/>
      <c r="F108" s="521"/>
      <c r="G108" s="521"/>
      <c r="H108" s="521"/>
      <c r="I108" s="521"/>
      <c r="J108" s="521"/>
      <c r="K108" s="521"/>
      <c r="L108" s="521"/>
      <c r="M108" s="521"/>
      <c r="N108" s="521"/>
      <c r="O108" s="521"/>
      <c r="P108" s="521"/>
      <c r="Q108" s="521"/>
      <c r="R108" s="521"/>
      <c r="S108" s="521"/>
      <c r="T108" s="565">
        <v>-23</v>
      </c>
      <c r="U108" s="523"/>
      <c r="V108" s="506"/>
      <c r="W108" s="570"/>
    </row>
    <row r="109" spans="1:23" s="507" customFormat="1" x14ac:dyDescent="0.35">
      <c r="A109" s="520" t="s">
        <v>248</v>
      </c>
      <c r="B109" s="521" t="s">
        <v>215</v>
      </c>
      <c r="C109" s="521"/>
      <c r="D109" s="521"/>
      <c r="E109" s="521"/>
      <c r="F109" s="521"/>
      <c r="G109" s="521"/>
      <c r="H109" s="521"/>
      <c r="I109" s="521"/>
      <c r="J109" s="521"/>
      <c r="K109" s="521"/>
      <c r="L109" s="521"/>
      <c r="M109" s="521"/>
      <c r="N109" s="521"/>
      <c r="O109" s="521"/>
      <c r="P109" s="521"/>
      <c r="Q109" s="521"/>
      <c r="R109" s="521"/>
      <c r="S109" s="521"/>
      <c r="T109" s="565">
        <v>-50</v>
      </c>
      <c r="U109" s="523"/>
      <c r="V109" s="569"/>
      <c r="W109" s="570"/>
    </row>
    <row r="110" spans="1:23" s="507" customFormat="1" x14ac:dyDescent="0.35">
      <c r="A110" s="520" t="s">
        <v>249</v>
      </c>
      <c r="B110" s="521" t="s">
        <v>230</v>
      </c>
      <c r="C110" s="521"/>
      <c r="D110" s="521"/>
      <c r="E110" s="521"/>
      <c r="F110" s="521"/>
      <c r="G110" s="521"/>
      <c r="H110" s="521"/>
      <c r="I110" s="521"/>
      <c r="J110" s="521"/>
      <c r="K110" s="521"/>
      <c r="L110" s="521"/>
      <c r="M110" s="521"/>
      <c r="N110" s="521"/>
      <c r="O110" s="521"/>
      <c r="P110" s="521"/>
      <c r="Q110" s="521"/>
      <c r="R110" s="521"/>
      <c r="S110" s="521"/>
      <c r="T110" s="565">
        <v>-50</v>
      </c>
      <c r="U110" s="523"/>
      <c r="V110" s="506"/>
      <c r="W110" s="570"/>
    </row>
    <row r="111" spans="1:23" s="507" customFormat="1" x14ac:dyDescent="0.35">
      <c r="A111" s="520" t="s">
        <v>250</v>
      </c>
      <c r="B111" s="521" t="s">
        <v>216</v>
      </c>
      <c r="C111" s="521"/>
      <c r="D111" s="521"/>
      <c r="E111" s="521"/>
      <c r="F111" s="521"/>
      <c r="G111" s="521"/>
      <c r="H111" s="521"/>
      <c r="I111" s="521"/>
      <c r="J111" s="521"/>
      <c r="K111" s="521"/>
      <c r="L111" s="521"/>
      <c r="M111" s="521"/>
      <c r="N111" s="521"/>
      <c r="O111" s="521"/>
      <c r="P111" s="521"/>
      <c r="Q111" s="521"/>
      <c r="R111" s="521"/>
      <c r="S111" s="521"/>
      <c r="T111" s="565">
        <v>-128</v>
      </c>
      <c r="U111" s="523"/>
      <c r="V111" s="506"/>
      <c r="W111" s="570"/>
    </row>
    <row r="112" spans="1:23" s="507" customFormat="1" x14ac:dyDescent="0.35">
      <c r="A112" s="520">
        <v>7</v>
      </c>
      <c r="B112" s="568" t="s">
        <v>326</v>
      </c>
      <c r="C112" s="521"/>
      <c r="D112" s="521"/>
      <c r="E112" s="521"/>
      <c r="F112" s="521"/>
      <c r="G112" s="521"/>
      <c r="H112" s="521"/>
      <c r="I112" s="521"/>
      <c r="J112" s="521"/>
      <c r="K112" s="521"/>
      <c r="L112" s="521"/>
      <c r="M112" s="521"/>
      <c r="N112" s="521"/>
      <c r="O112" s="521"/>
      <c r="P112" s="521"/>
      <c r="Q112" s="521"/>
      <c r="R112" s="521"/>
      <c r="S112" s="521"/>
      <c r="T112" s="565">
        <v>0</v>
      </c>
      <c r="U112" s="523"/>
      <c r="V112" s="506"/>
      <c r="W112" s="570"/>
    </row>
    <row r="113" spans="1:22" s="507" customFormat="1" x14ac:dyDescent="0.35">
      <c r="A113" s="520">
        <v>8</v>
      </c>
      <c r="B113" s="521" t="s">
        <v>36</v>
      </c>
      <c r="C113" s="521"/>
      <c r="D113" s="521"/>
      <c r="E113" s="521"/>
      <c r="F113" s="521"/>
      <c r="G113" s="521"/>
      <c r="H113" s="521"/>
      <c r="I113" s="521"/>
      <c r="J113" s="521"/>
      <c r="K113" s="521"/>
      <c r="L113" s="521"/>
      <c r="M113" s="521"/>
      <c r="N113" s="521"/>
      <c r="O113" s="521"/>
      <c r="P113" s="521"/>
      <c r="Q113" s="521"/>
      <c r="R113" s="521"/>
      <c r="S113" s="521"/>
      <c r="T113" s="565">
        <v>-9</v>
      </c>
      <c r="U113" s="523"/>
      <c r="V113" s="506"/>
    </row>
    <row r="114" spans="1:22" s="507" customFormat="1" x14ac:dyDescent="0.35">
      <c r="A114" s="520">
        <f t="shared" ref="A114:A122" si="0">+A113+1</f>
        <v>9</v>
      </c>
      <c r="B114" s="521" t="s">
        <v>47</v>
      </c>
      <c r="C114" s="521"/>
      <c r="D114" s="521"/>
      <c r="E114" s="521"/>
      <c r="F114" s="521"/>
      <c r="G114" s="521"/>
      <c r="H114" s="521"/>
      <c r="I114" s="521"/>
      <c r="J114" s="521"/>
      <c r="K114" s="521"/>
      <c r="L114" s="521"/>
      <c r="M114" s="521"/>
      <c r="N114" s="521"/>
      <c r="O114" s="521"/>
      <c r="P114" s="521"/>
      <c r="Q114" s="521"/>
      <c r="R114" s="564">
        <f>-T114</f>
        <v>194</v>
      </c>
      <c r="S114" s="521"/>
      <c r="T114" s="565">
        <v>-194</v>
      </c>
      <c r="U114" s="523"/>
      <c r="V114" s="506"/>
    </row>
    <row r="115" spans="1:22" s="507" customFormat="1" x14ac:dyDescent="0.35">
      <c r="A115" s="520">
        <f t="shared" si="0"/>
        <v>10</v>
      </c>
      <c r="B115" s="521" t="s">
        <v>132</v>
      </c>
      <c r="C115" s="521"/>
      <c r="D115" s="521"/>
      <c r="E115" s="521"/>
      <c r="F115" s="521"/>
      <c r="G115" s="521"/>
      <c r="H115" s="521"/>
      <c r="I115" s="521"/>
      <c r="J115" s="521"/>
      <c r="K115" s="521"/>
      <c r="L115" s="521"/>
      <c r="M115" s="521"/>
      <c r="N115" s="521"/>
      <c r="O115" s="521"/>
      <c r="P115" s="521"/>
      <c r="Q115" s="521"/>
      <c r="R115" s="521"/>
      <c r="S115" s="521"/>
      <c r="T115" s="565">
        <v>0</v>
      </c>
      <c r="U115" s="523"/>
      <c r="V115" s="506"/>
    </row>
    <row r="116" spans="1:22" s="507" customFormat="1" x14ac:dyDescent="0.35">
      <c r="A116" s="520">
        <f t="shared" si="0"/>
        <v>11</v>
      </c>
      <c r="B116" s="521" t="s">
        <v>37</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2" s="507" customFormat="1" x14ac:dyDescent="0.35">
      <c r="A117" s="520">
        <f t="shared" si="0"/>
        <v>12</v>
      </c>
      <c r="B117" s="521" t="s">
        <v>38</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2" s="507" customFormat="1" x14ac:dyDescent="0.35">
      <c r="A118" s="520">
        <f t="shared" si="0"/>
        <v>13</v>
      </c>
      <c r="B118" s="521" t="s">
        <v>156</v>
      </c>
      <c r="C118" s="521"/>
      <c r="D118" s="521"/>
      <c r="E118" s="521"/>
      <c r="F118" s="521"/>
      <c r="G118" s="521"/>
      <c r="H118" s="521"/>
      <c r="I118" s="521"/>
      <c r="J118" s="521"/>
      <c r="K118" s="521"/>
      <c r="L118" s="521"/>
      <c r="M118" s="521"/>
      <c r="N118" s="521"/>
      <c r="O118" s="521"/>
      <c r="P118" s="521"/>
      <c r="Q118" s="521"/>
      <c r="R118" s="521"/>
      <c r="S118" s="521"/>
      <c r="T118" s="565">
        <v>-121</v>
      </c>
      <c r="U118" s="523"/>
      <c r="V118" s="506"/>
    </row>
    <row r="119" spans="1:22" s="507" customFormat="1" x14ac:dyDescent="0.35">
      <c r="A119" s="520">
        <f t="shared" si="0"/>
        <v>14</v>
      </c>
      <c r="B119" s="568" t="s">
        <v>376</v>
      </c>
      <c r="C119" s="521"/>
      <c r="D119" s="521"/>
      <c r="E119" s="521"/>
      <c r="F119" s="521"/>
      <c r="G119" s="521"/>
      <c r="H119" s="521"/>
      <c r="I119" s="521"/>
      <c r="J119" s="521"/>
      <c r="K119" s="521"/>
      <c r="L119" s="521"/>
      <c r="M119" s="521"/>
      <c r="N119" s="521"/>
      <c r="O119" s="521"/>
      <c r="P119" s="521"/>
      <c r="Q119" s="521"/>
      <c r="R119" s="521"/>
      <c r="S119" s="521"/>
      <c r="T119" s="565">
        <v>-208</v>
      </c>
      <c r="U119" s="523"/>
      <c r="V119" s="506"/>
    </row>
    <row r="120" spans="1:22" s="507" customFormat="1" x14ac:dyDescent="0.35">
      <c r="A120" s="520">
        <f t="shared" si="0"/>
        <v>15</v>
      </c>
      <c r="B120" s="521" t="s">
        <v>373</v>
      </c>
      <c r="C120" s="521"/>
      <c r="D120" s="521"/>
      <c r="E120" s="521"/>
      <c r="F120" s="521"/>
      <c r="G120" s="521"/>
      <c r="H120" s="521"/>
      <c r="I120" s="521"/>
      <c r="J120" s="521"/>
      <c r="K120" s="521"/>
      <c r="L120" s="521"/>
      <c r="M120" s="521"/>
      <c r="N120" s="521"/>
      <c r="O120" s="521"/>
      <c r="P120" s="521"/>
      <c r="Q120" s="521"/>
      <c r="R120" s="521"/>
      <c r="S120" s="521"/>
      <c r="T120" s="565">
        <v>0</v>
      </c>
      <c r="U120" s="523"/>
      <c r="V120" s="506"/>
    </row>
    <row r="121" spans="1:22" s="507" customFormat="1" x14ac:dyDescent="0.35">
      <c r="A121" s="520">
        <f t="shared" si="0"/>
        <v>16</v>
      </c>
      <c r="B121" s="521" t="s">
        <v>375</v>
      </c>
      <c r="C121" s="521"/>
      <c r="D121" s="521"/>
      <c r="E121" s="521"/>
      <c r="F121" s="521"/>
      <c r="G121" s="521"/>
      <c r="H121" s="521"/>
      <c r="I121" s="521"/>
      <c r="J121" s="521"/>
      <c r="K121" s="521"/>
      <c r="L121" s="521"/>
      <c r="M121" s="521"/>
      <c r="N121" s="521"/>
      <c r="O121" s="521"/>
      <c r="P121" s="521"/>
      <c r="Q121" s="521"/>
      <c r="R121" s="521"/>
      <c r="S121" s="521"/>
      <c r="T121" s="565">
        <v>0</v>
      </c>
      <c r="U121" s="523"/>
      <c r="V121" s="506"/>
    </row>
    <row r="122" spans="1:22" s="507" customFormat="1" x14ac:dyDescent="0.35">
      <c r="A122" s="520">
        <f t="shared" si="0"/>
        <v>17</v>
      </c>
      <c r="B122" s="521" t="s">
        <v>374</v>
      </c>
      <c r="C122" s="521"/>
      <c r="D122" s="521"/>
      <c r="E122" s="521"/>
      <c r="F122" s="521"/>
      <c r="G122" s="521"/>
      <c r="H122" s="521"/>
      <c r="I122" s="521"/>
      <c r="J122" s="521"/>
      <c r="K122" s="521"/>
      <c r="L122" s="521"/>
      <c r="M122" s="521"/>
      <c r="N122" s="521"/>
      <c r="O122" s="521"/>
      <c r="P122" s="521"/>
      <c r="Q122" s="521"/>
      <c r="R122" s="521"/>
      <c r="S122" s="521"/>
      <c r="T122" s="565">
        <f>-T99-SUM(T101:T121)</f>
        <v>-357</v>
      </c>
      <c r="U122" s="523"/>
      <c r="V122" s="506"/>
    </row>
    <row r="123" spans="1:22" x14ac:dyDescent="0.35">
      <c r="A123" s="416"/>
      <c r="B123" s="483" t="s">
        <v>39</v>
      </c>
      <c r="C123" s="417"/>
      <c r="D123" s="417"/>
      <c r="E123" s="417"/>
      <c r="F123" s="417"/>
      <c r="G123" s="417"/>
      <c r="H123" s="417"/>
      <c r="I123" s="417"/>
      <c r="J123" s="417"/>
      <c r="K123" s="417"/>
      <c r="L123" s="417"/>
      <c r="M123" s="417"/>
      <c r="N123" s="417"/>
      <c r="O123" s="417"/>
      <c r="P123" s="417"/>
      <c r="Q123" s="417"/>
      <c r="R123" s="417"/>
      <c r="S123" s="417"/>
      <c r="T123" s="434"/>
      <c r="U123" s="418"/>
      <c r="V123" s="405"/>
    </row>
    <row r="124" spans="1:22" s="507" customFormat="1" x14ac:dyDescent="0.35">
      <c r="A124" s="520"/>
      <c r="B124" s="521" t="s">
        <v>184</v>
      </c>
      <c r="C124" s="521"/>
      <c r="D124" s="521"/>
      <c r="E124" s="521"/>
      <c r="F124" s="521"/>
      <c r="G124" s="521"/>
      <c r="H124" s="521"/>
      <c r="I124" s="521"/>
      <c r="J124" s="521"/>
      <c r="K124" s="521"/>
      <c r="L124" s="521"/>
      <c r="M124" s="521"/>
      <c r="N124" s="521"/>
      <c r="O124" s="521"/>
      <c r="P124" s="521"/>
      <c r="Q124" s="521"/>
      <c r="R124" s="564">
        <f>-R184</f>
        <v>0</v>
      </c>
      <c r="S124" s="564"/>
      <c r="T124" s="565"/>
      <c r="U124" s="523"/>
      <c r="V124" s="506"/>
    </row>
    <row r="125" spans="1:22" s="507" customFormat="1" x14ac:dyDescent="0.35">
      <c r="A125" s="520"/>
      <c r="B125" s="521" t="s">
        <v>185</v>
      </c>
      <c r="C125" s="521"/>
      <c r="D125" s="521"/>
      <c r="E125" s="521"/>
      <c r="F125" s="521"/>
      <c r="G125" s="521"/>
      <c r="H125" s="521"/>
      <c r="I125" s="521"/>
      <c r="J125" s="521"/>
      <c r="K125" s="521"/>
      <c r="L125" s="521"/>
      <c r="M125" s="521"/>
      <c r="N125" s="521"/>
      <c r="O125" s="521"/>
      <c r="P125" s="521"/>
      <c r="Q125" s="521"/>
      <c r="R125" s="564">
        <v>0</v>
      </c>
      <c r="S125" s="564"/>
      <c r="T125" s="565"/>
      <c r="U125" s="523"/>
      <c r="V125" s="506"/>
    </row>
    <row r="126" spans="1:22" s="507" customFormat="1" x14ac:dyDescent="0.35">
      <c r="A126" s="520"/>
      <c r="B126" s="521" t="s">
        <v>40</v>
      </c>
      <c r="C126" s="521"/>
      <c r="D126" s="521"/>
      <c r="E126" s="521"/>
      <c r="F126" s="521"/>
      <c r="G126" s="521"/>
      <c r="H126" s="521"/>
      <c r="I126" s="521"/>
      <c r="J126" s="521"/>
      <c r="K126" s="521"/>
      <c r="L126" s="521"/>
      <c r="M126" s="521"/>
      <c r="N126" s="521"/>
      <c r="O126" s="521"/>
      <c r="P126" s="521"/>
      <c r="Q126" s="521"/>
      <c r="R126" s="564">
        <f>-Q184</f>
        <v>0</v>
      </c>
      <c r="S126" s="564"/>
      <c r="T126" s="565"/>
      <c r="U126" s="523"/>
      <c r="V126" s="506"/>
    </row>
    <row r="127" spans="1:22" s="507" customFormat="1" x14ac:dyDescent="0.35">
      <c r="A127" s="520"/>
      <c r="B127" s="521" t="s">
        <v>377</v>
      </c>
      <c r="C127" s="521"/>
      <c r="D127" s="521"/>
      <c r="E127" s="521"/>
      <c r="F127" s="521"/>
      <c r="G127" s="521"/>
      <c r="H127" s="521"/>
      <c r="I127" s="521"/>
      <c r="J127" s="521"/>
      <c r="K127" s="521"/>
      <c r="L127" s="521"/>
      <c r="M127" s="521"/>
      <c r="N127" s="521"/>
      <c r="O127" s="521"/>
      <c r="P127" s="521"/>
      <c r="Q127" s="521"/>
      <c r="R127" s="564">
        <v>0</v>
      </c>
      <c r="S127" s="564"/>
      <c r="T127" s="565"/>
      <c r="U127" s="523"/>
      <c r="V127" s="506"/>
    </row>
    <row r="128" spans="1:22" s="507" customFormat="1" x14ac:dyDescent="0.35">
      <c r="A128" s="520"/>
      <c r="B128" s="521" t="s">
        <v>229</v>
      </c>
      <c r="C128" s="521"/>
      <c r="D128" s="521"/>
      <c r="E128" s="521"/>
      <c r="F128" s="521"/>
      <c r="G128" s="521"/>
      <c r="H128" s="521"/>
      <c r="I128" s="521"/>
      <c r="J128" s="521"/>
      <c r="K128" s="521"/>
      <c r="L128" s="521"/>
      <c r="M128" s="521"/>
      <c r="N128" s="521"/>
      <c r="O128" s="521"/>
      <c r="P128" s="521"/>
      <c r="Q128" s="521"/>
      <c r="R128" s="564">
        <v>-1543</v>
      </c>
      <c r="S128" s="564"/>
      <c r="T128" s="565"/>
      <c r="U128" s="523"/>
      <c r="V128" s="506"/>
    </row>
    <row r="129" spans="1:22" s="507" customFormat="1" x14ac:dyDescent="0.35">
      <c r="A129" s="520"/>
      <c r="B129" s="521" t="s">
        <v>228</v>
      </c>
      <c r="C129" s="521"/>
      <c r="D129" s="521"/>
      <c r="E129" s="521"/>
      <c r="F129" s="521"/>
      <c r="G129" s="521"/>
      <c r="H129" s="521"/>
      <c r="I129" s="521"/>
      <c r="J129" s="521"/>
      <c r="K129" s="521"/>
      <c r="L129" s="521"/>
      <c r="M129" s="521"/>
      <c r="N129" s="521"/>
      <c r="O129" s="521"/>
      <c r="P129" s="521"/>
      <c r="Q129" s="521"/>
      <c r="R129" s="564">
        <v>-2204</v>
      </c>
      <c r="S129" s="564"/>
      <c r="T129" s="565"/>
      <c r="U129" s="523"/>
      <c r="V129" s="506"/>
    </row>
    <row r="130" spans="1:22" s="507" customFormat="1" x14ac:dyDescent="0.35">
      <c r="A130" s="520"/>
      <c r="B130" s="521" t="s">
        <v>221</v>
      </c>
      <c r="C130" s="521"/>
      <c r="D130" s="521"/>
      <c r="E130" s="521"/>
      <c r="F130" s="521"/>
      <c r="G130" s="521"/>
      <c r="H130" s="521"/>
      <c r="I130" s="521"/>
      <c r="J130" s="521"/>
      <c r="K130" s="521"/>
      <c r="L130" s="521"/>
      <c r="M130" s="521"/>
      <c r="N130" s="521"/>
      <c r="O130" s="521"/>
      <c r="P130" s="521"/>
      <c r="Q130" s="521"/>
      <c r="R130" s="564">
        <v>-302</v>
      </c>
      <c r="S130" s="564"/>
      <c r="T130" s="565"/>
      <c r="U130" s="523"/>
      <c r="V130" s="506"/>
    </row>
    <row r="131" spans="1:22" s="507" customFormat="1" x14ac:dyDescent="0.35">
      <c r="A131" s="520"/>
      <c r="B131" s="521" t="s">
        <v>220</v>
      </c>
      <c r="C131" s="521"/>
      <c r="D131" s="521"/>
      <c r="E131" s="521"/>
      <c r="F131" s="521"/>
      <c r="G131" s="521"/>
      <c r="H131" s="521"/>
      <c r="I131" s="521"/>
      <c r="J131" s="521"/>
      <c r="K131" s="521"/>
      <c r="L131" s="521"/>
      <c r="M131" s="521"/>
      <c r="N131" s="521"/>
      <c r="O131" s="521"/>
      <c r="P131" s="521"/>
      <c r="Q131" s="521"/>
      <c r="R131" s="564">
        <v>-128</v>
      </c>
      <c r="S131" s="564"/>
      <c r="T131" s="565"/>
      <c r="U131" s="523"/>
      <c r="V131" s="506"/>
    </row>
    <row r="132" spans="1:22" s="507" customFormat="1" x14ac:dyDescent="0.35">
      <c r="A132" s="520"/>
      <c r="B132" s="521" t="s">
        <v>219</v>
      </c>
      <c r="C132" s="521"/>
      <c r="D132" s="521"/>
      <c r="E132" s="521"/>
      <c r="F132" s="521"/>
      <c r="G132" s="521"/>
      <c r="H132" s="521"/>
      <c r="I132" s="521"/>
      <c r="J132" s="521"/>
      <c r="K132" s="521"/>
      <c r="L132" s="521"/>
      <c r="M132" s="521"/>
      <c r="N132" s="521"/>
      <c r="O132" s="521"/>
      <c r="P132" s="521"/>
      <c r="Q132" s="521"/>
      <c r="R132" s="564">
        <v>-502</v>
      </c>
      <c r="S132" s="564"/>
      <c r="T132" s="565"/>
      <c r="U132" s="523"/>
      <c r="V132" s="506"/>
    </row>
    <row r="133" spans="1:22" s="507" customFormat="1" x14ac:dyDescent="0.35">
      <c r="A133" s="520"/>
      <c r="B133" s="521" t="s">
        <v>218</v>
      </c>
      <c r="C133" s="521"/>
      <c r="D133" s="521"/>
      <c r="E133" s="521"/>
      <c r="F133" s="521"/>
      <c r="G133" s="521"/>
      <c r="H133" s="521"/>
      <c r="I133" s="521"/>
      <c r="J133" s="521"/>
      <c r="K133" s="521"/>
      <c r="L133" s="521"/>
      <c r="M133" s="521"/>
      <c r="N133" s="521"/>
      <c r="O133" s="521"/>
      <c r="P133" s="521"/>
      <c r="Q133" s="521"/>
      <c r="R133" s="564">
        <v>-181</v>
      </c>
      <c r="S133" s="564"/>
      <c r="T133" s="565"/>
      <c r="U133" s="523"/>
      <c r="V133" s="506"/>
    </row>
    <row r="134" spans="1:22" s="507" customFormat="1" x14ac:dyDescent="0.35">
      <c r="A134" s="520"/>
      <c r="B134" s="521" t="s">
        <v>41</v>
      </c>
      <c r="C134" s="521"/>
      <c r="D134" s="521"/>
      <c r="E134" s="521"/>
      <c r="F134" s="521"/>
      <c r="G134" s="521"/>
      <c r="H134" s="521"/>
      <c r="I134" s="521"/>
      <c r="J134" s="521"/>
      <c r="K134" s="521"/>
      <c r="L134" s="521"/>
      <c r="M134" s="521"/>
      <c r="N134" s="521"/>
      <c r="O134" s="521"/>
      <c r="P134" s="521"/>
      <c r="Q134" s="521"/>
      <c r="R134" s="564">
        <f>SUM(R124:R133)</f>
        <v>-4860</v>
      </c>
      <c r="S134" s="564"/>
      <c r="T134" s="564">
        <f>SUM(T100:T132)</f>
        <v>-1832</v>
      </c>
      <c r="U134" s="523"/>
      <c r="V134" s="506"/>
    </row>
    <row r="135" spans="1:22" s="507" customFormat="1" x14ac:dyDescent="0.35">
      <c r="A135" s="520"/>
      <c r="B135" s="521" t="s">
        <v>42</v>
      </c>
      <c r="C135" s="521"/>
      <c r="D135" s="521"/>
      <c r="E135" s="521"/>
      <c r="F135" s="521"/>
      <c r="G135" s="521"/>
      <c r="H135" s="521"/>
      <c r="I135" s="521"/>
      <c r="J135" s="521"/>
      <c r="K135" s="521"/>
      <c r="L135" s="521"/>
      <c r="M135" s="521"/>
      <c r="N135" s="521"/>
      <c r="O135" s="521"/>
      <c r="P135" s="521"/>
      <c r="Q135" s="521"/>
      <c r="R135" s="564">
        <f>R99+R134+R114</f>
        <v>0</v>
      </c>
      <c r="S135" s="564"/>
      <c r="T135" s="564">
        <f>T99+T134</f>
        <v>0</v>
      </c>
      <c r="U135" s="523"/>
      <c r="V135" s="506"/>
    </row>
    <row r="136" spans="1:22" s="507" customFormat="1" x14ac:dyDescent="0.35">
      <c r="A136" s="508"/>
      <c r="B136" s="554"/>
      <c r="C136" s="554"/>
      <c r="D136" s="554"/>
      <c r="E136" s="554"/>
      <c r="F136" s="554"/>
      <c r="G136" s="554"/>
      <c r="H136" s="554"/>
      <c r="I136" s="554"/>
      <c r="J136" s="554"/>
      <c r="K136" s="554"/>
      <c r="L136" s="554"/>
      <c r="M136" s="554"/>
      <c r="N136" s="554"/>
      <c r="O136" s="554"/>
      <c r="P136" s="554"/>
      <c r="Q136" s="554"/>
      <c r="R136" s="571"/>
      <c r="S136" s="571"/>
      <c r="T136" s="571"/>
      <c r="U136" s="554"/>
      <c r="V136" s="506"/>
    </row>
    <row r="137" spans="1:22" s="507" customFormat="1" x14ac:dyDescent="0.35">
      <c r="A137" s="508"/>
      <c r="B137" s="509"/>
      <c r="C137" s="509"/>
      <c r="D137" s="509"/>
      <c r="E137" s="509"/>
      <c r="F137" s="509"/>
      <c r="G137" s="509"/>
      <c r="H137" s="509"/>
      <c r="I137" s="509"/>
      <c r="J137" s="509"/>
      <c r="K137" s="509"/>
      <c r="L137" s="509"/>
      <c r="M137" s="509"/>
      <c r="N137" s="509"/>
      <c r="O137" s="509"/>
      <c r="P137" s="509"/>
      <c r="Q137" s="509"/>
      <c r="R137" s="509"/>
      <c r="S137" s="509"/>
      <c r="T137" s="572"/>
      <c r="U137" s="509"/>
      <c r="V137" s="506"/>
    </row>
    <row r="138" spans="1:22" s="507" customFormat="1" ht="19" thickBot="1" x14ac:dyDescent="0.5">
      <c r="A138" s="559"/>
      <c r="B138" s="560" t="str">
        <f>B63</f>
        <v>PM10 INVESTOR REPORT QUARTER ENDING MAY 2020</v>
      </c>
      <c r="C138" s="561"/>
      <c r="D138" s="561"/>
      <c r="E138" s="561"/>
      <c r="F138" s="561"/>
      <c r="G138" s="561"/>
      <c r="H138" s="561"/>
      <c r="I138" s="561"/>
      <c r="J138" s="561"/>
      <c r="K138" s="561"/>
      <c r="L138" s="561"/>
      <c r="M138" s="561"/>
      <c r="N138" s="561"/>
      <c r="O138" s="561"/>
      <c r="P138" s="561"/>
      <c r="Q138" s="561"/>
      <c r="R138" s="561"/>
      <c r="S138" s="561"/>
      <c r="T138" s="573"/>
      <c r="U138" s="563"/>
      <c r="V138" s="506"/>
    </row>
    <row r="139" spans="1:22" x14ac:dyDescent="0.35">
      <c r="A139" s="615"/>
      <c r="B139" s="616" t="s">
        <v>43</v>
      </c>
      <c r="C139" s="617"/>
      <c r="D139" s="617"/>
      <c r="E139" s="617"/>
      <c r="F139" s="617"/>
      <c r="G139" s="617"/>
      <c r="H139" s="617"/>
      <c r="I139" s="617"/>
      <c r="J139" s="617"/>
      <c r="K139" s="617"/>
      <c r="L139" s="617"/>
      <c r="M139" s="617"/>
      <c r="N139" s="617"/>
      <c r="O139" s="617"/>
      <c r="P139" s="617"/>
      <c r="Q139" s="617"/>
      <c r="R139" s="617"/>
      <c r="S139" s="617"/>
      <c r="T139" s="618"/>
      <c r="U139" s="617"/>
      <c r="V139" s="405"/>
    </row>
    <row r="140" spans="1:22" x14ac:dyDescent="0.35">
      <c r="A140" s="407"/>
      <c r="B140" s="436"/>
      <c r="C140" s="409"/>
      <c r="D140" s="409"/>
      <c r="E140" s="409"/>
      <c r="F140" s="409"/>
      <c r="G140" s="409"/>
      <c r="H140" s="409"/>
      <c r="I140" s="409"/>
      <c r="J140" s="409"/>
      <c r="K140" s="409"/>
      <c r="L140" s="409"/>
      <c r="M140" s="409"/>
      <c r="N140" s="409"/>
      <c r="O140" s="409"/>
      <c r="P140" s="409"/>
      <c r="Q140" s="409"/>
      <c r="R140" s="409"/>
      <c r="S140" s="409"/>
      <c r="T140" s="425"/>
      <c r="U140" s="409"/>
      <c r="V140" s="405"/>
    </row>
    <row r="141" spans="1:22" x14ac:dyDescent="0.35">
      <c r="A141" s="407"/>
      <c r="B141" s="480" t="s">
        <v>44</v>
      </c>
      <c r="C141" s="409"/>
      <c r="D141" s="409"/>
      <c r="E141" s="409"/>
      <c r="F141" s="409"/>
      <c r="G141" s="409"/>
      <c r="H141" s="409"/>
      <c r="I141" s="409"/>
      <c r="J141" s="409"/>
      <c r="K141" s="409"/>
      <c r="L141" s="409"/>
      <c r="M141" s="409"/>
      <c r="N141" s="409"/>
      <c r="O141" s="409"/>
      <c r="P141" s="409"/>
      <c r="Q141" s="409"/>
      <c r="R141" s="409"/>
      <c r="S141" s="409"/>
      <c r="T141" s="425"/>
      <c r="U141" s="409"/>
      <c r="V141" s="405"/>
    </row>
    <row r="142" spans="1:22" s="507" customFormat="1" x14ac:dyDescent="0.35">
      <c r="A142" s="520"/>
      <c r="B142" s="521" t="s">
        <v>45</v>
      </c>
      <c r="C142" s="521"/>
      <c r="D142" s="521"/>
      <c r="E142" s="521"/>
      <c r="F142" s="521"/>
      <c r="G142" s="521"/>
      <c r="H142" s="521"/>
      <c r="I142" s="521"/>
      <c r="J142" s="521"/>
      <c r="K142" s="521"/>
      <c r="L142" s="521"/>
      <c r="M142" s="521"/>
      <c r="N142" s="521"/>
      <c r="O142" s="521"/>
      <c r="P142" s="521"/>
      <c r="Q142" s="521"/>
      <c r="R142" s="521"/>
      <c r="S142" s="521"/>
      <c r="T142" s="565">
        <f>+T34*0.0186</f>
        <v>18606.565799999997</v>
      </c>
      <c r="U142" s="523"/>
      <c r="V142" s="506"/>
    </row>
    <row r="143" spans="1:22" s="507" customFormat="1" x14ac:dyDescent="0.35">
      <c r="A143" s="520"/>
      <c r="B143" s="521" t="s">
        <v>46</v>
      </c>
      <c r="C143" s="521"/>
      <c r="D143" s="521"/>
      <c r="E143" s="521"/>
      <c r="F143" s="521"/>
      <c r="G143" s="521"/>
      <c r="H143" s="521"/>
      <c r="I143" s="521"/>
      <c r="J143" s="521"/>
      <c r="K143" s="521"/>
      <c r="L143" s="521"/>
      <c r="M143" s="521"/>
      <c r="N143" s="521"/>
      <c r="O143" s="521"/>
      <c r="P143" s="521"/>
      <c r="Q143" s="521"/>
      <c r="R143" s="521"/>
      <c r="S143" s="521"/>
      <c r="T143" s="565">
        <v>18607</v>
      </c>
      <c r="U143" s="523"/>
      <c r="V143" s="506"/>
    </row>
    <row r="144" spans="1:22" s="507" customFormat="1" x14ac:dyDescent="0.35">
      <c r="A144" s="520"/>
      <c r="B144" s="521" t="s">
        <v>143</v>
      </c>
      <c r="C144" s="521"/>
      <c r="D144" s="521"/>
      <c r="E144" s="521"/>
      <c r="F144" s="521"/>
      <c r="G144" s="521"/>
      <c r="H144" s="521"/>
      <c r="I144" s="521"/>
      <c r="J144" s="521"/>
      <c r="K144" s="521"/>
      <c r="L144" s="521"/>
      <c r="M144" s="521"/>
      <c r="N144" s="521"/>
      <c r="O144" s="521"/>
      <c r="P144" s="521"/>
      <c r="Q144" s="521"/>
      <c r="R144" s="521"/>
      <c r="S144" s="521"/>
      <c r="T144" s="565">
        <v>0</v>
      </c>
      <c r="U144" s="523"/>
      <c r="V144" s="506"/>
    </row>
    <row r="145" spans="1:23" s="507" customFormat="1" x14ac:dyDescent="0.35">
      <c r="A145" s="520"/>
      <c r="B145" s="521" t="s">
        <v>130</v>
      </c>
      <c r="C145" s="521"/>
      <c r="D145" s="521"/>
      <c r="E145" s="521"/>
      <c r="F145" s="521"/>
      <c r="G145" s="521"/>
      <c r="H145" s="521"/>
      <c r="I145" s="521"/>
      <c r="J145" s="521"/>
      <c r="K145" s="521"/>
      <c r="L145" s="521"/>
      <c r="M145" s="521"/>
      <c r="N145" s="521"/>
      <c r="O145" s="521"/>
      <c r="P145" s="521"/>
      <c r="Q145" s="521"/>
      <c r="R145" s="521"/>
      <c r="S145" s="521"/>
      <c r="T145" s="565">
        <v>0</v>
      </c>
      <c r="U145" s="523"/>
      <c r="V145" s="506"/>
    </row>
    <row r="146" spans="1:23" s="507" customFormat="1" x14ac:dyDescent="0.35">
      <c r="A146" s="520"/>
      <c r="B146" s="521" t="s">
        <v>131</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186</v>
      </c>
      <c r="C147" s="521"/>
      <c r="D147" s="521"/>
      <c r="E147" s="521"/>
      <c r="F147" s="521"/>
      <c r="G147" s="521"/>
      <c r="H147" s="521"/>
      <c r="I147" s="521"/>
      <c r="J147" s="521"/>
      <c r="K147" s="521"/>
      <c r="L147" s="521"/>
      <c r="M147" s="521"/>
      <c r="N147" s="521"/>
      <c r="O147" s="521"/>
      <c r="P147" s="521"/>
      <c r="Q147" s="521"/>
      <c r="R147" s="521"/>
      <c r="S147" s="521"/>
      <c r="T147" s="565">
        <v>0</v>
      </c>
      <c r="U147" s="523"/>
      <c r="V147" s="506"/>
    </row>
    <row r="148" spans="1:23" s="507" customFormat="1" x14ac:dyDescent="0.35">
      <c r="A148" s="520"/>
      <c r="B148" s="521" t="s">
        <v>47</v>
      </c>
      <c r="C148" s="521"/>
      <c r="D148" s="521"/>
      <c r="E148" s="521"/>
      <c r="F148" s="521"/>
      <c r="G148" s="521"/>
      <c r="H148" s="521"/>
      <c r="I148" s="521"/>
      <c r="J148" s="521"/>
      <c r="K148" s="521"/>
      <c r="L148" s="521"/>
      <c r="M148" s="521"/>
      <c r="N148" s="521"/>
      <c r="O148" s="521"/>
      <c r="P148" s="521"/>
      <c r="Q148" s="521"/>
      <c r="R148" s="521"/>
      <c r="S148" s="521"/>
      <c r="T148" s="565">
        <v>0</v>
      </c>
      <c r="U148" s="523"/>
      <c r="V148" s="506"/>
    </row>
    <row r="149" spans="1:23" s="507" customFormat="1" x14ac:dyDescent="0.35">
      <c r="A149" s="520"/>
      <c r="B149" s="521" t="s">
        <v>136</v>
      </c>
      <c r="C149" s="521"/>
      <c r="D149" s="521"/>
      <c r="E149" s="521"/>
      <c r="F149" s="521"/>
      <c r="G149" s="521"/>
      <c r="H149" s="521"/>
      <c r="I149" s="521"/>
      <c r="J149" s="521"/>
      <c r="K149" s="521"/>
      <c r="L149" s="521"/>
      <c r="M149" s="521"/>
      <c r="N149" s="521"/>
      <c r="O149" s="521"/>
      <c r="P149" s="521"/>
      <c r="Q149" s="521"/>
      <c r="R149" s="521"/>
      <c r="S149" s="521"/>
      <c r="T149" s="565">
        <v>0</v>
      </c>
      <c r="U149" s="523"/>
      <c r="V149" s="506"/>
    </row>
    <row r="150" spans="1:23" s="507" customFormat="1" x14ac:dyDescent="0.35">
      <c r="A150" s="520"/>
      <c r="B150" s="521" t="s">
        <v>222</v>
      </c>
      <c r="C150" s="521"/>
      <c r="D150" s="521"/>
      <c r="E150" s="521"/>
      <c r="F150" s="521"/>
      <c r="G150" s="521"/>
      <c r="H150" s="521"/>
      <c r="I150" s="521"/>
      <c r="J150" s="521"/>
      <c r="K150" s="521"/>
      <c r="L150" s="521"/>
      <c r="M150" s="521"/>
      <c r="N150" s="521"/>
      <c r="O150" s="521"/>
      <c r="P150" s="521"/>
      <c r="Q150" s="521"/>
      <c r="R150" s="521"/>
      <c r="S150" s="521"/>
      <c r="T150" s="565">
        <v>0</v>
      </c>
      <c r="U150" s="523"/>
      <c r="V150" s="506"/>
      <c r="W150" s="570"/>
    </row>
    <row r="151" spans="1:23" s="507" customFormat="1" x14ac:dyDescent="0.35">
      <c r="A151" s="520"/>
      <c r="B151" s="521" t="s">
        <v>48</v>
      </c>
      <c r="C151" s="521"/>
      <c r="D151" s="521"/>
      <c r="E151" s="521"/>
      <c r="F151" s="521"/>
      <c r="G151" s="521"/>
      <c r="H151" s="521"/>
      <c r="I151" s="521"/>
      <c r="J151" s="521"/>
      <c r="K151" s="521"/>
      <c r="L151" s="521"/>
      <c r="M151" s="521"/>
      <c r="N151" s="521"/>
      <c r="O151" s="521"/>
      <c r="P151" s="521"/>
      <c r="Q151" s="521"/>
      <c r="R151" s="521"/>
      <c r="S151" s="521"/>
      <c r="T151" s="565">
        <f>SUM(T143:T150)</f>
        <v>18607</v>
      </c>
      <c r="U151" s="523"/>
      <c r="V151" s="506"/>
    </row>
    <row r="152" spans="1:23" x14ac:dyDescent="0.35">
      <c r="A152" s="420"/>
      <c r="B152" s="421"/>
      <c r="C152" s="421"/>
      <c r="D152" s="421"/>
      <c r="E152" s="421"/>
      <c r="F152" s="421"/>
      <c r="G152" s="421"/>
      <c r="H152" s="421"/>
      <c r="I152" s="421"/>
      <c r="J152" s="421"/>
      <c r="K152" s="421"/>
      <c r="L152" s="421"/>
      <c r="M152" s="421"/>
      <c r="N152" s="421"/>
      <c r="O152" s="421"/>
      <c r="P152" s="421"/>
      <c r="Q152" s="421"/>
      <c r="R152" s="421"/>
      <c r="S152" s="421"/>
      <c r="T152" s="433"/>
      <c r="U152" s="422"/>
      <c r="V152" s="405"/>
    </row>
    <row r="153" spans="1:23" x14ac:dyDescent="0.35">
      <c r="A153" s="420"/>
      <c r="B153" s="483" t="s">
        <v>266</v>
      </c>
      <c r="C153" s="421"/>
      <c r="D153" s="421"/>
      <c r="E153" s="421"/>
      <c r="F153" s="421"/>
      <c r="G153" s="421"/>
      <c r="H153" s="421"/>
      <c r="I153" s="421"/>
      <c r="J153" s="421"/>
      <c r="K153" s="421"/>
      <c r="L153" s="421"/>
      <c r="M153" s="421"/>
      <c r="N153" s="421"/>
      <c r="O153" s="421"/>
      <c r="P153" s="421"/>
      <c r="Q153" s="421"/>
      <c r="R153" s="421"/>
      <c r="S153" s="421"/>
      <c r="T153" s="433"/>
      <c r="U153" s="422"/>
      <c r="V153" s="405"/>
    </row>
    <row r="154" spans="1:23" s="507" customFormat="1" x14ac:dyDescent="0.35">
      <c r="A154" s="520"/>
      <c r="B154" s="521" t="s">
        <v>163</v>
      </c>
      <c r="C154" s="521"/>
      <c r="D154" s="521"/>
      <c r="E154" s="521"/>
      <c r="F154" s="521"/>
      <c r="G154" s="521"/>
      <c r="H154" s="521"/>
      <c r="I154" s="521"/>
      <c r="J154" s="521"/>
      <c r="K154" s="521"/>
      <c r="L154" s="521"/>
      <c r="M154" s="521"/>
      <c r="N154" s="521"/>
      <c r="O154" s="521"/>
      <c r="P154" s="521"/>
      <c r="Q154" s="521"/>
      <c r="R154" s="521"/>
      <c r="S154" s="521"/>
      <c r="T154" s="565">
        <v>5750</v>
      </c>
      <c r="U154" s="523"/>
      <c r="V154" s="506"/>
    </row>
    <row r="155" spans="1:23" s="507" customFormat="1" x14ac:dyDescent="0.35">
      <c r="A155" s="520"/>
      <c r="B155" s="521" t="s">
        <v>264</v>
      </c>
      <c r="C155" s="521"/>
      <c r="D155" s="521"/>
      <c r="E155" s="521"/>
      <c r="F155" s="521"/>
      <c r="G155" s="521"/>
      <c r="H155" s="521"/>
      <c r="I155" s="521"/>
      <c r="J155" s="521"/>
      <c r="K155" s="521"/>
      <c r="L155" s="521"/>
      <c r="M155" s="521"/>
      <c r="N155" s="521"/>
      <c r="O155" s="521"/>
      <c r="P155" s="521"/>
      <c r="Q155" s="521"/>
      <c r="R155" s="521"/>
      <c r="S155" s="521"/>
      <c r="T155" s="565">
        <v>0</v>
      </c>
      <c r="U155" s="523"/>
      <c r="V155" s="506"/>
    </row>
    <row r="156" spans="1:23" s="507" customFormat="1" x14ac:dyDescent="0.35">
      <c r="A156" s="520"/>
      <c r="B156" s="521" t="s">
        <v>183</v>
      </c>
      <c r="C156" s="521"/>
      <c r="D156" s="521"/>
      <c r="E156" s="521"/>
      <c r="F156" s="521"/>
      <c r="G156" s="521"/>
      <c r="H156" s="521"/>
      <c r="I156" s="521"/>
      <c r="J156" s="521"/>
      <c r="K156" s="521"/>
      <c r="L156" s="521"/>
      <c r="M156" s="521"/>
      <c r="N156" s="521"/>
      <c r="O156" s="521"/>
      <c r="P156" s="521"/>
      <c r="Q156" s="521"/>
      <c r="R156" s="521"/>
      <c r="S156" s="521"/>
      <c r="T156" s="565">
        <v>0</v>
      </c>
      <c r="U156" s="523"/>
      <c r="V156" s="506"/>
    </row>
    <row r="157" spans="1:23" s="507" customFormat="1" x14ac:dyDescent="0.35">
      <c r="A157" s="520"/>
      <c r="B157" s="521" t="s">
        <v>335</v>
      </c>
      <c r="C157" s="521"/>
      <c r="D157" s="521"/>
      <c r="E157" s="521"/>
      <c r="F157" s="521"/>
      <c r="G157" s="521"/>
      <c r="H157" s="521"/>
      <c r="I157" s="521"/>
      <c r="J157" s="521"/>
      <c r="K157" s="521"/>
      <c r="L157" s="521"/>
      <c r="M157" s="521"/>
      <c r="N157" s="521"/>
      <c r="O157" s="521"/>
      <c r="P157" s="521"/>
      <c r="Q157" s="521"/>
      <c r="R157" s="521"/>
      <c r="S157" s="521"/>
      <c r="T157" s="565">
        <v>0</v>
      </c>
      <c r="U157" s="523"/>
      <c r="V157" s="506"/>
    </row>
    <row r="158" spans="1:23" x14ac:dyDescent="0.35">
      <c r="A158" s="420"/>
      <c r="B158" s="421"/>
      <c r="C158" s="421"/>
      <c r="D158" s="421"/>
      <c r="E158" s="421"/>
      <c r="F158" s="421"/>
      <c r="G158" s="421"/>
      <c r="H158" s="421"/>
      <c r="I158" s="421"/>
      <c r="J158" s="421"/>
      <c r="K158" s="421"/>
      <c r="L158" s="421"/>
      <c r="M158" s="421"/>
      <c r="N158" s="421"/>
      <c r="O158" s="421"/>
      <c r="P158" s="421"/>
      <c r="Q158" s="421"/>
      <c r="R158" s="421"/>
      <c r="S158" s="421"/>
      <c r="T158" s="433"/>
      <c r="U158" s="422"/>
      <c r="V158" s="405"/>
    </row>
    <row r="159" spans="1:23" x14ac:dyDescent="0.35">
      <c r="A159" s="407"/>
      <c r="B159" s="427"/>
      <c r="C159" s="427"/>
      <c r="D159" s="427"/>
      <c r="E159" s="427"/>
      <c r="F159" s="427"/>
      <c r="G159" s="427"/>
      <c r="H159" s="427"/>
      <c r="I159" s="427"/>
      <c r="J159" s="427"/>
      <c r="K159" s="427"/>
      <c r="L159" s="427"/>
      <c r="M159" s="427"/>
      <c r="N159" s="427"/>
      <c r="O159" s="427"/>
      <c r="P159" s="427"/>
      <c r="Q159" s="427"/>
      <c r="R159" s="427"/>
      <c r="S159" s="427"/>
      <c r="T159" s="437"/>
      <c r="U159" s="427"/>
      <c r="V159" s="405"/>
    </row>
    <row r="160" spans="1:23" x14ac:dyDescent="0.35">
      <c r="A160" s="407"/>
      <c r="B160" s="480" t="s">
        <v>24</v>
      </c>
      <c r="C160" s="409"/>
      <c r="D160" s="409"/>
      <c r="E160" s="409"/>
      <c r="F160" s="409"/>
      <c r="G160" s="409"/>
      <c r="H160" s="409"/>
      <c r="I160" s="409"/>
      <c r="J160" s="409"/>
      <c r="K160" s="409"/>
      <c r="L160" s="409"/>
      <c r="M160" s="409"/>
      <c r="N160" s="409"/>
      <c r="O160" s="409"/>
      <c r="P160" s="409"/>
      <c r="Q160" s="409"/>
      <c r="R160" s="409"/>
      <c r="S160" s="409"/>
      <c r="T160" s="425"/>
      <c r="U160" s="409"/>
      <c r="V160" s="405"/>
    </row>
    <row r="161" spans="1:22" s="507" customFormat="1" x14ac:dyDescent="0.35">
      <c r="A161" s="520"/>
      <c r="B161" s="521" t="s">
        <v>49</v>
      </c>
      <c r="C161" s="521"/>
      <c r="D161" s="521"/>
      <c r="E161" s="521"/>
      <c r="F161" s="521"/>
      <c r="G161" s="521"/>
      <c r="H161" s="521"/>
      <c r="I161" s="521"/>
      <c r="J161" s="521"/>
      <c r="K161" s="521"/>
      <c r="L161" s="521"/>
      <c r="M161" s="521"/>
      <c r="N161" s="521"/>
      <c r="O161" s="521"/>
      <c r="P161" s="521"/>
      <c r="Q161" s="521"/>
      <c r="R161" s="521"/>
      <c r="S161" s="521"/>
      <c r="T161" s="574" t="s">
        <v>125</v>
      </c>
      <c r="U161" s="523"/>
      <c r="V161" s="506"/>
    </row>
    <row r="162" spans="1:22" s="507" customFormat="1" x14ac:dyDescent="0.35">
      <c r="A162" s="520"/>
      <c r="B162" s="521" t="s">
        <v>50</v>
      </c>
      <c r="C162" s="521"/>
      <c r="D162" s="521"/>
      <c r="E162" s="521"/>
      <c r="F162" s="521"/>
      <c r="G162" s="521"/>
      <c r="H162" s="521"/>
      <c r="I162" s="521"/>
      <c r="J162" s="521"/>
      <c r="K162" s="521"/>
      <c r="L162" s="521"/>
      <c r="M162" s="521"/>
      <c r="N162" s="521"/>
      <c r="O162" s="521"/>
      <c r="P162" s="521"/>
      <c r="Q162" s="521"/>
      <c r="R162" s="521"/>
      <c r="S162" s="521"/>
      <c r="T162" s="574" t="s">
        <v>125</v>
      </c>
      <c r="U162" s="523"/>
      <c r="V162" s="506"/>
    </row>
    <row r="163" spans="1:22" s="507" customFormat="1" x14ac:dyDescent="0.35">
      <c r="A163" s="520"/>
      <c r="B163" s="521" t="s">
        <v>51</v>
      </c>
      <c r="C163" s="521"/>
      <c r="D163" s="521"/>
      <c r="E163" s="521"/>
      <c r="F163" s="521"/>
      <c r="G163" s="521"/>
      <c r="H163" s="521"/>
      <c r="I163" s="521"/>
      <c r="J163" s="521"/>
      <c r="K163" s="521"/>
      <c r="L163" s="521"/>
      <c r="M163" s="521"/>
      <c r="N163" s="521"/>
      <c r="O163" s="521"/>
      <c r="P163" s="521"/>
      <c r="Q163" s="521"/>
      <c r="R163" s="521"/>
      <c r="S163" s="521"/>
      <c r="T163" s="574" t="s">
        <v>125</v>
      </c>
      <c r="U163" s="523"/>
      <c r="V163" s="506"/>
    </row>
    <row r="164" spans="1:22" s="507" customFormat="1" x14ac:dyDescent="0.35">
      <c r="A164" s="520"/>
      <c r="B164" s="521" t="s">
        <v>52</v>
      </c>
      <c r="C164" s="521"/>
      <c r="D164" s="521"/>
      <c r="E164" s="521"/>
      <c r="F164" s="521"/>
      <c r="G164" s="521"/>
      <c r="H164" s="521"/>
      <c r="I164" s="521"/>
      <c r="J164" s="521"/>
      <c r="K164" s="521"/>
      <c r="L164" s="521"/>
      <c r="M164" s="521"/>
      <c r="N164" s="521"/>
      <c r="O164" s="521"/>
      <c r="P164" s="521"/>
      <c r="Q164" s="521"/>
      <c r="R164" s="521"/>
      <c r="S164" s="521"/>
      <c r="T164" s="574" t="s">
        <v>125</v>
      </c>
      <c r="U164" s="523"/>
      <c r="V164" s="506"/>
    </row>
    <row r="165" spans="1:22" x14ac:dyDescent="0.35">
      <c r="A165" s="407"/>
      <c r="B165" s="427"/>
      <c r="C165" s="427"/>
      <c r="D165" s="427"/>
      <c r="E165" s="427"/>
      <c r="F165" s="427"/>
      <c r="G165" s="427"/>
      <c r="H165" s="427"/>
      <c r="I165" s="427"/>
      <c r="J165" s="427"/>
      <c r="K165" s="427"/>
      <c r="L165" s="427"/>
      <c r="M165" s="427"/>
      <c r="N165" s="427"/>
      <c r="O165" s="427"/>
      <c r="P165" s="427"/>
      <c r="Q165" s="427"/>
      <c r="R165" s="427"/>
      <c r="S165" s="427"/>
      <c r="T165" s="437"/>
      <c r="U165" s="427"/>
      <c r="V165" s="405"/>
    </row>
    <row r="166" spans="1:22" x14ac:dyDescent="0.35">
      <c r="A166" s="407"/>
      <c r="B166" s="480" t="s">
        <v>53</v>
      </c>
      <c r="C166" s="409"/>
      <c r="D166" s="409"/>
      <c r="E166" s="409"/>
      <c r="F166" s="409"/>
      <c r="G166" s="409"/>
      <c r="H166" s="409"/>
      <c r="I166" s="409"/>
      <c r="J166" s="409"/>
      <c r="K166" s="409"/>
      <c r="L166" s="409"/>
      <c r="M166" s="409"/>
      <c r="N166" s="409"/>
      <c r="O166" s="409"/>
      <c r="P166" s="409"/>
      <c r="Q166" s="409"/>
      <c r="R166" s="409"/>
      <c r="S166" s="409"/>
      <c r="T166" s="438"/>
      <c r="U166" s="409"/>
      <c r="V166" s="405"/>
    </row>
    <row r="167" spans="1:22" s="507" customFormat="1" x14ac:dyDescent="0.35">
      <c r="A167" s="520"/>
      <c r="B167" s="521" t="s">
        <v>54</v>
      </c>
      <c r="C167" s="521"/>
      <c r="D167" s="521"/>
      <c r="E167" s="521"/>
      <c r="F167" s="521"/>
      <c r="G167" s="521"/>
      <c r="H167" s="521"/>
      <c r="I167" s="521"/>
      <c r="J167" s="521"/>
      <c r="K167" s="521"/>
      <c r="L167" s="521"/>
      <c r="M167" s="521"/>
      <c r="N167" s="521"/>
      <c r="O167" s="521"/>
      <c r="P167" s="521"/>
      <c r="Q167" s="521"/>
      <c r="R167" s="521"/>
      <c r="S167" s="521"/>
      <c r="T167" s="565">
        <v>0</v>
      </c>
      <c r="U167" s="523"/>
      <c r="V167" s="506"/>
    </row>
    <row r="168" spans="1:22" s="507" customFormat="1" x14ac:dyDescent="0.35">
      <c r="A168" s="520"/>
      <c r="B168" s="521" t="s">
        <v>55</v>
      </c>
      <c r="C168" s="521"/>
      <c r="D168" s="521"/>
      <c r="E168" s="521"/>
      <c r="F168" s="521"/>
      <c r="G168" s="521"/>
      <c r="H168" s="521"/>
      <c r="I168" s="521"/>
      <c r="J168" s="521"/>
      <c r="K168" s="521"/>
      <c r="L168" s="521"/>
      <c r="M168" s="521"/>
      <c r="N168" s="521"/>
      <c r="O168" s="521"/>
      <c r="P168" s="521"/>
      <c r="Q168" s="521"/>
      <c r="R168" s="521"/>
      <c r="S168" s="521"/>
      <c r="T168" s="565">
        <v>194</v>
      </c>
      <c r="U168" s="523"/>
      <c r="V168" s="506"/>
    </row>
    <row r="169" spans="1:22" s="507" customFormat="1" x14ac:dyDescent="0.35">
      <c r="A169" s="520"/>
      <c r="B169" s="521" t="s">
        <v>56</v>
      </c>
      <c r="C169" s="521"/>
      <c r="D169" s="521"/>
      <c r="E169" s="521"/>
      <c r="F169" s="521"/>
      <c r="G169" s="521"/>
      <c r="H169" s="521"/>
      <c r="I169" s="521"/>
      <c r="J169" s="521"/>
      <c r="K169" s="521"/>
      <c r="L169" s="521"/>
      <c r="M169" s="521"/>
      <c r="N169" s="521"/>
      <c r="O169" s="521"/>
      <c r="P169" s="521"/>
      <c r="Q169" s="521"/>
      <c r="R169" s="521"/>
      <c r="S169" s="521"/>
      <c r="T169" s="565">
        <f>T168+T167</f>
        <v>194</v>
      </c>
      <c r="U169" s="523"/>
      <c r="V169" s="506"/>
    </row>
    <row r="170" spans="1:22" s="507" customFormat="1" x14ac:dyDescent="0.35">
      <c r="A170" s="520"/>
      <c r="B170" s="521" t="s">
        <v>314</v>
      </c>
      <c r="C170" s="521"/>
      <c r="D170" s="521"/>
      <c r="E170" s="521"/>
      <c r="F170" s="521"/>
      <c r="G170" s="521"/>
      <c r="H170" s="521"/>
      <c r="I170" s="521"/>
      <c r="J170" s="521"/>
      <c r="K170" s="521"/>
      <c r="L170" s="521"/>
      <c r="M170" s="521"/>
      <c r="N170" s="521"/>
      <c r="O170" s="521"/>
      <c r="P170" s="521"/>
      <c r="Q170" s="521"/>
      <c r="R170" s="521"/>
      <c r="S170" s="521"/>
      <c r="T170" s="565">
        <f>T114</f>
        <v>-194</v>
      </c>
      <c r="U170" s="523"/>
      <c r="V170" s="506"/>
    </row>
    <row r="171" spans="1:22" s="507" customFormat="1" x14ac:dyDescent="0.35">
      <c r="A171" s="520"/>
      <c r="B171" s="521" t="s">
        <v>57</v>
      </c>
      <c r="C171" s="521"/>
      <c r="D171" s="521"/>
      <c r="E171" s="521"/>
      <c r="F171" s="521"/>
      <c r="G171" s="521"/>
      <c r="H171" s="521"/>
      <c r="I171" s="521"/>
      <c r="J171" s="521"/>
      <c r="K171" s="521"/>
      <c r="L171" s="521"/>
      <c r="M171" s="521"/>
      <c r="N171" s="521"/>
      <c r="O171" s="521"/>
      <c r="P171" s="521"/>
      <c r="Q171" s="521"/>
      <c r="R171" s="521"/>
      <c r="S171" s="521"/>
      <c r="T171" s="565">
        <f>T169+T170</f>
        <v>0</v>
      </c>
      <c r="U171" s="523"/>
      <c r="V171" s="506"/>
    </row>
    <row r="172" spans="1:22" s="507" customFormat="1" x14ac:dyDescent="0.35">
      <c r="A172" s="520"/>
      <c r="B172" s="521" t="s">
        <v>285</v>
      </c>
      <c r="C172" s="521"/>
      <c r="D172" s="521"/>
      <c r="E172" s="521"/>
      <c r="F172" s="521"/>
      <c r="G172" s="521"/>
      <c r="H172" s="521"/>
      <c r="I172" s="521"/>
      <c r="J172" s="521"/>
      <c r="K172" s="521"/>
      <c r="L172" s="521"/>
      <c r="M172" s="521"/>
      <c r="N172" s="521"/>
      <c r="O172" s="521"/>
      <c r="P172" s="521"/>
      <c r="Q172" s="521"/>
      <c r="R172" s="521"/>
      <c r="S172" s="521"/>
      <c r="T172" s="565">
        <v>0</v>
      </c>
      <c r="U172" s="523"/>
      <c r="V172" s="506"/>
    </row>
    <row r="173" spans="1:22" ht="16" thickBot="1" x14ac:dyDescent="0.4">
      <c r="A173" s="407"/>
      <c r="B173" s="427"/>
      <c r="C173" s="427"/>
      <c r="D173" s="427"/>
      <c r="E173" s="427"/>
      <c r="F173" s="427"/>
      <c r="G173" s="427"/>
      <c r="H173" s="427"/>
      <c r="I173" s="427"/>
      <c r="J173" s="427"/>
      <c r="K173" s="427"/>
      <c r="L173" s="427"/>
      <c r="M173" s="427"/>
      <c r="N173" s="427"/>
      <c r="O173" s="427"/>
      <c r="P173" s="427"/>
      <c r="Q173" s="427"/>
      <c r="R173" s="427"/>
      <c r="S173" s="427"/>
      <c r="T173" s="437"/>
      <c r="U173" s="427"/>
      <c r="V173" s="405"/>
    </row>
    <row r="174" spans="1:22" x14ac:dyDescent="0.35">
      <c r="A174" s="403"/>
      <c r="B174" s="404"/>
      <c r="C174" s="404"/>
      <c r="D174" s="404"/>
      <c r="E174" s="404"/>
      <c r="F174" s="404"/>
      <c r="G174" s="404"/>
      <c r="H174" s="404"/>
      <c r="I174" s="404"/>
      <c r="J174" s="404"/>
      <c r="K174" s="404"/>
      <c r="L174" s="404"/>
      <c r="M174" s="404"/>
      <c r="N174" s="404"/>
      <c r="O174" s="404"/>
      <c r="P174" s="404"/>
      <c r="Q174" s="404"/>
      <c r="R174" s="404"/>
      <c r="S174" s="404"/>
      <c r="T174" s="439"/>
      <c r="U174" s="404"/>
      <c r="V174" s="405"/>
    </row>
    <row r="175" spans="1:22" x14ac:dyDescent="0.35">
      <c r="A175" s="407"/>
      <c r="B175" s="480" t="s">
        <v>58</v>
      </c>
      <c r="C175" s="409"/>
      <c r="D175" s="409"/>
      <c r="E175" s="409"/>
      <c r="F175" s="409"/>
      <c r="G175" s="409"/>
      <c r="H175" s="409"/>
      <c r="I175" s="409"/>
      <c r="J175" s="409"/>
      <c r="K175" s="409"/>
      <c r="L175" s="409"/>
      <c r="M175" s="409"/>
      <c r="N175" s="409"/>
      <c r="O175" s="409"/>
      <c r="P175" s="409"/>
      <c r="Q175" s="409"/>
      <c r="R175" s="409"/>
      <c r="S175" s="409"/>
      <c r="T175" s="425"/>
      <c r="U175" s="409"/>
      <c r="V175" s="405"/>
    </row>
    <row r="176" spans="1:22" x14ac:dyDescent="0.35">
      <c r="A176" s="407"/>
      <c r="B176" s="436"/>
      <c r="C176" s="409"/>
      <c r="D176" s="409"/>
      <c r="E176" s="409"/>
      <c r="F176" s="409"/>
      <c r="G176" s="409"/>
      <c r="H176" s="409"/>
      <c r="I176" s="409"/>
      <c r="J176" s="409"/>
      <c r="K176" s="409"/>
      <c r="L176" s="409"/>
      <c r="M176" s="409"/>
      <c r="N176" s="409"/>
      <c r="O176" s="409"/>
      <c r="P176" s="409"/>
      <c r="Q176" s="409"/>
      <c r="R176" s="409"/>
      <c r="S176" s="409"/>
      <c r="T176" s="425"/>
      <c r="U176" s="409"/>
      <c r="V176" s="405"/>
    </row>
    <row r="177" spans="1:22" s="507" customFormat="1" x14ac:dyDescent="0.35">
      <c r="A177" s="520"/>
      <c r="B177" s="521" t="s">
        <v>59</v>
      </c>
      <c r="C177" s="521"/>
      <c r="D177" s="521"/>
      <c r="E177" s="521"/>
      <c r="F177" s="521"/>
      <c r="G177" s="521"/>
      <c r="H177" s="521"/>
      <c r="I177" s="521"/>
      <c r="J177" s="521"/>
      <c r="K177" s="521"/>
      <c r="L177" s="521"/>
      <c r="M177" s="521"/>
      <c r="N177" s="521"/>
      <c r="O177" s="521"/>
      <c r="P177" s="521"/>
      <c r="Q177" s="521"/>
      <c r="R177" s="521"/>
      <c r="S177" s="521"/>
      <c r="T177" s="565">
        <f>T70</f>
        <v>307595</v>
      </c>
      <c r="U177" s="523"/>
      <c r="V177" s="506"/>
    </row>
    <row r="178" spans="1:22" s="507" customFormat="1" x14ac:dyDescent="0.35">
      <c r="A178" s="520"/>
      <c r="B178" s="521" t="s">
        <v>60</v>
      </c>
      <c r="C178" s="521"/>
      <c r="D178" s="521"/>
      <c r="E178" s="521"/>
      <c r="F178" s="521"/>
      <c r="G178" s="521"/>
      <c r="H178" s="521"/>
      <c r="I178" s="521"/>
      <c r="J178" s="521"/>
      <c r="K178" s="521"/>
      <c r="L178" s="521"/>
      <c r="M178" s="521"/>
      <c r="N178" s="521"/>
      <c r="O178" s="521"/>
      <c r="P178" s="521"/>
      <c r="Q178" s="521"/>
      <c r="R178" s="521"/>
      <c r="S178" s="521"/>
      <c r="T178" s="565">
        <f>T83</f>
        <v>307595</v>
      </c>
      <c r="U178" s="523"/>
      <c r="V178" s="506"/>
    </row>
    <row r="179" spans="1:22" ht="16" thickBot="1" x14ac:dyDescent="0.4">
      <c r="A179" s="407"/>
      <c r="B179" s="427"/>
      <c r="C179" s="427"/>
      <c r="D179" s="427"/>
      <c r="E179" s="427"/>
      <c r="F179" s="427"/>
      <c r="G179" s="427"/>
      <c r="H179" s="427"/>
      <c r="I179" s="427"/>
      <c r="J179" s="427"/>
      <c r="K179" s="427"/>
      <c r="L179" s="427"/>
      <c r="M179" s="427"/>
      <c r="N179" s="427"/>
      <c r="O179" s="427"/>
      <c r="P179" s="427"/>
      <c r="Q179" s="427"/>
      <c r="R179" s="427"/>
      <c r="S179" s="427"/>
      <c r="T179" s="437"/>
      <c r="U179" s="427"/>
      <c r="V179" s="405"/>
    </row>
    <row r="180" spans="1:22" x14ac:dyDescent="0.35">
      <c r="A180" s="403"/>
      <c r="B180" s="404"/>
      <c r="C180" s="404"/>
      <c r="D180" s="404"/>
      <c r="E180" s="404"/>
      <c r="F180" s="404"/>
      <c r="G180" s="404"/>
      <c r="H180" s="404"/>
      <c r="I180" s="404"/>
      <c r="J180" s="404"/>
      <c r="K180" s="404"/>
      <c r="L180" s="404"/>
      <c r="M180" s="404"/>
      <c r="N180" s="404"/>
      <c r="O180" s="404"/>
      <c r="P180" s="404"/>
      <c r="Q180" s="404"/>
      <c r="R180" s="404"/>
      <c r="S180" s="404"/>
      <c r="T180" s="439"/>
      <c r="U180" s="404"/>
      <c r="V180" s="405"/>
    </row>
    <row r="181" spans="1:22" x14ac:dyDescent="0.35">
      <c r="A181" s="407"/>
      <c r="B181" s="480" t="s">
        <v>61</v>
      </c>
      <c r="C181" s="426"/>
      <c r="D181" s="426"/>
      <c r="E181" s="426"/>
      <c r="F181" s="426"/>
      <c r="G181" s="426"/>
      <c r="H181" s="440"/>
      <c r="I181" s="440"/>
      <c r="J181" s="440"/>
      <c r="K181" s="440"/>
      <c r="L181" s="440"/>
      <c r="M181" s="440"/>
      <c r="N181" s="440"/>
      <c r="O181" s="440"/>
      <c r="P181" s="440"/>
      <c r="Q181" s="481" t="s">
        <v>105</v>
      </c>
      <c r="R181" s="481" t="s">
        <v>187</v>
      </c>
      <c r="S181" s="411"/>
      <c r="T181" s="482" t="s">
        <v>121</v>
      </c>
      <c r="U181" s="441"/>
      <c r="V181" s="405"/>
    </row>
    <row r="182" spans="1:22" s="507" customFormat="1" x14ac:dyDescent="0.35">
      <c r="A182" s="520"/>
      <c r="B182" s="521" t="s">
        <v>62</v>
      </c>
      <c r="C182" s="521"/>
      <c r="D182" s="521"/>
      <c r="E182" s="521"/>
      <c r="F182" s="521"/>
      <c r="G182" s="521"/>
      <c r="H182" s="521"/>
      <c r="I182" s="521"/>
      <c r="J182" s="521"/>
      <c r="K182" s="521"/>
      <c r="L182" s="521"/>
      <c r="M182" s="521"/>
      <c r="N182" s="521"/>
      <c r="O182" s="521"/>
      <c r="P182" s="521"/>
      <c r="Q182" s="565">
        <f>+T34*0.16</f>
        <v>160056.48000000001</v>
      </c>
      <c r="R182" s="543"/>
      <c r="S182" s="521"/>
      <c r="T182" s="565"/>
      <c r="U182" s="523"/>
      <c r="V182" s="506"/>
    </row>
    <row r="183" spans="1:22" s="507" customFormat="1" x14ac:dyDescent="0.35">
      <c r="A183" s="520"/>
      <c r="B183" s="521" t="s">
        <v>63</v>
      </c>
      <c r="C183" s="521"/>
      <c r="D183" s="521"/>
      <c r="E183" s="521"/>
      <c r="F183" s="521"/>
      <c r="G183" s="521"/>
      <c r="H183" s="521"/>
      <c r="I183" s="521"/>
      <c r="J183" s="521"/>
      <c r="K183" s="521"/>
      <c r="L183" s="521"/>
      <c r="M183" s="521"/>
      <c r="N183" s="521"/>
      <c r="O183" s="521"/>
      <c r="P183" s="521"/>
      <c r="Q183" s="565">
        <f>+'Feb 20'!Q185</f>
        <v>47259</v>
      </c>
      <c r="R183" s="565">
        <f>+'Feb 20'!R185</f>
        <v>5998</v>
      </c>
      <c r="S183" s="521"/>
      <c r="T183" s="565">
        <f>Q183+R183</f>
        <v>53257</v>
      </c>
      <c r="U183" s="523"/>
      <c r="V183" s="506"/>
    </row>
    <row r="184" spans="1:22" s="507" customFormat="1" x14ac:dyDescent="0.35">
      <c r="A184" s="520"/>
      <c r="B184" s="521" t="s">
        <v>64</v>
      </c>
      <c r="C184" s="521"/>
      <c r="D184" s="521"/>
      <c r="E184" s="521"/>
      <c r="F184" s="521"/>
      <c r="G184" s="521"/>
      <c r="H184" s="521"/>
      <c r="I184" s="521"/>
      <c r="J184" s="521"/>
      <c r="K184" s="521"/>
      <c r="L184" s="521"/>
      <c r="M184" s="521"/>
      <c r="N184" s="521"/>
      <c r="O184" s="521"/>
      <c r="P184" s="521"/>
      <c r="Q184" s="564">
        <v>0</v>
      </c>
      <c r="R184" s="564">
        <v>0</v>
      </c>
      <c r="S184" s="521"/>
      <c r="T184" s="565">
        <f>Q184+R184</f>
        <v>0</v>
      </c>
      <c r="U184" s="523"/>
      <c r="V184" s="506"/>
    </row>
    <row r="185" spans="1:22" s="507" customFormat="1" x14ac:dyDescent="0.35">
      <c r="A185" s="520"/>
      <c r="B185" s="521" t="s">
        <v>65</v>
      </c>
      <c r="C185" s="521"/>
      <c r="D185" s="521"/>
      <c r="E185" s="521"/>
      <c r="F185" s="521"/>
      <c r="G185" s="521"/>
      <c r="H185" s="521"/>
      <c r="I185" s="521"/>
      <c r="J185" s="521"/>
      <c r="K185" s="521"/>
      <c r="L185" s="521"/>
      <c r="M185" s="521"/>
      <c r="N185" s="521"/>
      <c r="O185" s="521"/>
      <c r="P185" s="521"/>
      <c r="Q185" s="565">
        <f>Q183+Q184</f>
        <v>47259</v>
      </c>
      <c r="R185" s="565">
        <f>R184+R183</f>
        <v>5998</v>
      </c>
      <c r="S185" s="521"/>
      <c r="T185" s="565">
        <f>Q185+R185</f>
        <v>53257</v>
      </c>
      <c r="U185" s="523"/>
      <c r="V185" s="506"/>
    </row>
    <row r="186" spans="1:22" s="507" customFormat="1" x14ac:dyDescent="0.35">
      <c r="A186" s="520"/>
      <c r="B186" s="521" t="s">
        <v>66</v>
      </c>
      <c r="C186" s="521"/>
      <c r="D186" s="521"/>
      <c r="E186" s="521"/>
      <c r="F186" s="521"/>
      <c r="G186" s="521"/>
      <c r="H186" s="521"/>
      <c r="I186" s="521"/>
      <c r="J186" s="521"/>
      <c r="K186" s="521"/>
      <c r="L186" s="521"/>
      <c r="M186" s="521"/>
      <c r="N186" s="521"/>
      <c r="O186" s="521"/>
      <c r="P186" s="521"/>
      <c r="Q186" s="565">
        <f>Q182-Q185-R185</f>
        <v>106799.48000000001</v>
      </c>
      <c r="R186" s="543"/>
      <c r="S186" s="521"/>
      <c r="T186" s="565"/>
      <c r="U186" s="523"/>
      <c r="V186" s="506"/>
    </row>
    <row r="187" spans="1:22" ht="16" thickBot="1" x14ac:dyDescent="0.4">
      <c r="A187" s="407"/>
      <c r="B187" s="427"/>
      <c r="C187" s="427"/>
      <c r="D187" s="427"/>
      <c r="E187" s="427"/>
      <c r="F187" s="427"/>
      <c r="G187" s="427"/>
      <c r="H187" s="427"/>
      <c r="I187" s="427"/>
      <c r="J187" s="427"/>
      <c r="K187" s="427"/>
      <c r="L187" s="427"/>
      <c r="M187" s="427"/>
      <c r="N187" s="427"/>
      <c r="O187" s="427"/>
      <c r="P187" s="427"/>
      <c r="Q187" s="427"/>
      <c r="R187" s="427"/>
      <c r="S187" s="427"/>
      <c r="T187" s="437"/>
      <c r="U187" s="427"/>
      <c r="V187" s="405"/>
    </row>
    <row r="188" spans="1:22" x14ac:dyDescent="0.35">
      <c r="A188" s="403"/>
      <c r="B188" s="404"/>
      <c r="C188" s="404"/>
      <c r="D188" s="404"/>
      <c r="E188" s="404"/>
      <c r="F188" s="404"/>
      <c r="G188" s="404"/>
      <c r="H188" s="404"/>
      <c r="I188" s="404"/>
      <c r="J188" s="404"/>
      <c r="K188" s="404"/>
      <c r="L188" s="404"/>
      <c r="M188" s="404"/>
      <c r="N188" s="404"/>
      <c r="O188" s="404"/>
      <c r="P188" s="404"/>
      <c r="Q188" s="404"/>
      <c r="R188" s="404"/>
      <c r="S188" s="404"/>
      <c r="T188" s="439"/>
      <c r="U188" s="404"/>
      <c r="V188" s="405"/>
    </row>
    <row r="189" spans="1:22" x14ac:dyDescent="0.35">
      <c r="A189" s="407"/>
      <c r="B189" s="480" t="s">
        <v>67</v>
      </c>
      <c r="C189" s="409"/>
      <c r="D189" s="409"/>
      <c r="E189" s="409"/>
      <c r="F189" s="409"/>
      <c r="G189" s="409"/>
      <c r="H189" s="409"/>
      <c r="I189" s="409"/>
      <c r="J189" s="409"/>
      <c r="K189" s="409"/>
      <c r="L189" s="409"/>
      <c r="M189" s="409"/>
      <c r="N189" s="409"/>
      <c r="O189" s="409"/>
      <c r="P189" s="409"/>
      <c r="Q189" s="409"/>
      <c r="R189" s="409"/>
      <c r="S189" s="409"/>
      <c r="T189" s="442"/>
      <c r="U189" s="409"/>
      <c r="V189" s="405"/>
    </row>
    <row r="190" spans="1:22" s="507" customFormat="1" x14ac:dyDescent="0.35">
      <c r="A190" s="520"/>
      <c r="B190" s="521" t="s">
        <v>68</v>
      </c>
      <c r="C190" s="521"/>
      <c r="D190" s="521"/>
      <c r="E190" s="521"/>
      <c r="F190" s="521"/>
      <c r="G190" s="521"/>
      <c r="H190" s="521"/>
      <c r="I190" s="521"/>
      <c r="J190" s="521"/>
      <c r="K190" s="521"/>
      <c r="L190" s="521"/>
      <c r="M190" s="521"/>
      <c r="N190" s="521"/>
      <c r="O190" s="521"/>
      <c r="P190" s="521"/>
      <c r="Q190" s="521"/>
      <c r="R190" s="521"/>
      <c r="S190" s="521"/>
      <c r="T190" s="574">
        <f>(T99+T101+T102+T103+T104+T105)/-(T106+T107)</f>
        <v>3.2754491017964074</v>
      </c>
      <c r="U190" s="523" t="s">
        <v>122</v>
      </c>
      <c r="V190" s="506"/>
    </row>
    <row r="191" spans="1:22" s="507" customFormat="1" x14ac:dyDescent="0.35">
      <c r="A191" s="520"/>
      <c r="B191" s="521" t="s">
        <v>69</v>
      </c>
      <c r="C191" s="521"/>
      <c r="D191" s="521"/>
      <c r="E191" s="521"/>
      <c r="F191" s="521"/>
      <c r="G191" s="521"/>
      <c r="H191" s="521"/>
      <c r="I191" s="521"/>
      <c r="J191" s="521"/>
      <c r="K191" s="521"/>
      <c r="L191" s="521"/>
      <c r="M191" s="521"/>
      <c r="N191" s="521"/>
      <c r="O191" s="521"/>
      <c r="P191" s="521"/>
      <c r="Q191" s="521"/>
      <c r="R191" s="521"/>
      <c r="S191" s="521"/>
      <c r="T191" s="575">
        <v>1.83</v>
      </c>
      <c r="U191" s="523" t="s">
        <v>122</v>
      </c>
      <c r="V191" s="506"/>
    </row>
    <row r="192" spans="1:22" s="507" customFormat="1" x14ac:dyDescent="0.35">
      <c r="A192" s="520"/>
      <c r="B192" s="521" t="s">
        <v>70</v>
      </c>
      <c r="C192" s="521"/>
      <c r="D192" s="521"/>
      <c r="E192" s="521"/>
      <c r="F192" s="521"/>
      <c r="G192" s="521"/>
      <c r="H192" s="521"/>
      <c r="I192" s="521"/>
      <c r="J192" s="521"/>
      <c r="K192" s="521"/>
      <c r="L192" s="521"/>
      <c r="M192" s="521"/>
      <c r="N192" s="521"/>
      <c r="O192" s="521"/>
      <c r="P192" s="521"/>
      <c r="Q192" s="521"/>
      <c r="R192" s="521"/>
      <c r="S192" s="521"/>
      <c r="T192" s="574">
        <f>(T99+T101+T102+T103+T104+T105+T106+T107)/-(T108+T109)</f>
        <v>15.616438356164384</v>
      </c>
      <c r="U192" s="523" t="s">
        <v>122</v>
      </c>
      <c r="V192" s="506"/>
    </row>
    <row r="193" spans="1:22" s="507" customFormat="1" x14ac:dyDescent="0.35">
      <c r="A193" s="520"/>
      <c r="B193" s="521" t="s">
        <v>71</v>
      </c>
      <c r="C193" s="521"/>
      <c r="D193" s="521"/>
      <c r="E193" s="521"/>
      <c r="F193" s="521"/>
      <c r="G193" s="521"/>
      <c r="H193" s="521"/>
      <c r="I193" s="521"/>
      <c r="J193" s="521"/>
      <c r="K193" s="521"/>
      <c r="L193" s="521"/>
      <c r="M193" s="521"/>
      <c r="N193" s="521"/>
      <c r="O193" s="521"/>
      <c r="P193" s="521"/>
      <c r="Q193" s="521"/>
      <c r="R193" s="521"/>
      <c r="S193" s="521"/>
      <c r="T193" s="575">
        <v>10</v>
      </c>
      <c r="U193" s="523" t="s">
        <v>122</v>
      </c>
      <c r="V193" s="506"/>
    </row>
    <row r="194" spans="1:22" s="507" customFormat="1" x14ac:dyDescent="0.35">
      <c r="A194" s="520"/>
      <c r="B194" s="521" t="s">
        <v>232</v>
      </c>
      <c r="C194" s="521"/>
      <c r="D194" s="521"/>
      <c r="E194" s="521"/>
      <c r="F194" s="521"/>
      <c r="G194" s="521"/>
      <c r="H194" s="521"/>
      <c r="I194" s="521"/>
      <c r="J194" s="521"/>
      <c r="K194" s="521"/>
      <c r="L194" s="521"/>
      <c r="M194" s="521"/>
      <c r="N194" s="521"/>
      <c r="O194" s="521"/>
      <c r="P194" s="521"/>
      <c r="Q194" s="521"/>
      <c r="R194" s="521"/>
      <c r="S194" s="521"/>
      <c r="T194" s="574">
        <f>(T99+T101+T102+T103+T104+T105+T106+T107+T108+T109)/-(T110+T111)</f>
        <v>5.9943820224719104</v>
      </c>
      <c r="U194" s="523" t="s">
        <v>122</v>
      </c>
      <c r="V194" s="506"/>
    </row>
    <row r="195" spans="1:22" s="507" customFormat="1" x14ac:dyDescent="0.35">
      <c r="A195" s="520"/>
      <c r="B195" s="521" t="s">
        <v>233</v>
      </c>
      <c r="C195" s="521"/>
      <c r="D195" s="521"/>
      <c r="E195" s="521"/>
      <c r="F195" s="521"/>
      <c r="G195" s="521"/>
      <c r="H195" s="521"/>
      <c r="I195" s="521"/>
      <c r="J195" s="521"/>
      <c r="K195" s="521"/>
      <c r="L195" s="521"/>
      <c r="M195" s="521"/>
      <c r="N195" s="521"/>
      <c r="O195" s="521"/>
      <c r="P195" s="521"/>
      <c r="Q195" s="521"/>
      <c r="R195" s="521"/>
      <c r="S195" s="521"/>
      <c r="T195" s="575">
        <v>4.75</v>
      </c>
      <c r="U195" s="523" t="s">
        <v>122</v>
      </c>
      <c r="V195" s="506"/>
    </row>
    <row r="196" spans="1:22" s="507" customFormat="1" x14ac:dyDescent="0.35">
      <c r="A196" s="520"/>
      <c r="B196" s="521"/>
      <c r="C196" s="521"/>
      <c r="D196" s="521"/>
      <c r="E196" s="521"/>
      <c r="F196" s="521"/>
      <c r="G196" s="521"/>
      <c r="H196" s="521"/>
      <c r="I196" s="521"/>
      <c r="J196" s="521"/>
      <c r="K196" s="521"/>
      <c r="L196" s="521"/>
      <c r="M196" s="521"/>
      <c r="N196" s="521"/>
      <c r="O196" s="521"/>
      <c r="P196" s="521"/>
      <c r="Q196" s="521"/>
      <c r="R196" s="521"/>
      <c r="S196" s="521"/>
      <c r="T196" s="521"/>
      <c r="U196" s="523"/>
      <c r="V196" s="506"/>
    </row>
    <row r="197" spans="1:22" s="507" customFormat="1" x14ac:dyDescent="0.35">
      <c r="A197" s="508"/>
      <c r="B197" s="554"/>
      <c r="C197" s="554"/>
      <c r="D197" s="554"/>
      <c r="E197" s="554"/>
      <c r="F197" s="554"/>
      <c r="G197" s="554"/>
      <c r="H197" s="554"/>
      <c r="I197" s="554"/>
      <c r="J197" s="554"/>
      <c r="K197" s="554"/>
      <c r="L197" s="554"/>
      <c r="M197" s="554"/>
      <c r="N197" s="554"/>
      <c r="O197" s="554"/>
      <c r="P197" s="554"/>
      <c r="Q197" s="554"/>
      <c r="R197" s="554"/>
      <c r="S197" s="554"/>
      <c r="T197" s="554"/>
      <c r="U197" s="554"/>
      <c r="V197" s="506"/>
    </row>
    <row r="198" spans="1:22" s="507" customFormat="1" x14ac:dyDescent="0.35">
      <c r="A198" s="508"/>
      <c r="B198" s="509"/>
      <c r="C198" s="509"/>
      <c r="D198" s="509"/>
      <c r="E198" s="509"/>
      <c r="F198" s="509"/>
      <c r="G198" s="509"/>
      <c r="H198" s="509"/>
      <c r="I198" s="509"/>
      <c r="J198" s="509"/>
      <c r="K198" s="509"/>
      <c r="L198" s="509"/>
      <c r="M198" s="509"/>
      <c r="N198" s="509"/>
      <c r="O198" s="509"/>
      <c r="P198" s="509"/>
      <c r="Q198" s="509"/>
      <c r="R198" s="509"/>
      <c r="S198" s="509"/>
      <c r="T198" s="509"/>
      <c r="U198" s="509"/>
      <c r="V198" s="506"/>
    </row>
    <row r="199" spans="1:22" s="507" customFormat="1" ht="19" thickBot="1" x14ac:dyDescent="0.5">
      <c r="A199" s="559"/>
      <c r="B199" s="560" t="str">
        <f>B138</f>
        <v>PM10 INVESTOR REPORT QUARTER ENDING MAY 2020</v>
      </c>
      <c r="C199" s="561"/>
      <c r="D199" s="561"/>
      <c r="E199" s="561"/>
      <c r="F199" s="561"/>
      <c r="G199" s="561"/>
      <c r="H199" s="561"/>
      <c r="I199" s="561"/>
      <c r="J199" s="561"/>
      <c r="K199" s="561"/>
      <c r="L199" s="561"/>
      <c r="M199" s="561"/>
      <c r="N199" s="561"/>
      <c r="O199" s="561"/>
      <c r="P199" s="561"/>
      <c r="Q199" s="561"/>
      <c r="R199" s="561"/>
      <c r="S199" s="561"/>
      <c r="T199" s="561"/>
      <c r="U199" s="563"/>
      <c r="V199" s="506"/>
    </row>
    <row r="200" spans="1:22" x14ac:dyDescent="0.35">
      <c r="A200" s="615"/>
      <c r="B200" s="616" t="s">
        <v>72</v>
      </c>
      <c r="C200" s="619"/>
      <c r="D200" s="619"/>
      <c r="E200" s="619"/>
      <c r="F200" s="619"/>
      <c r="G200" s="620"/>
      <c r="H200" s="620"/>
      <c r="I200" s="620"/>
      <c r="J200" s="620"/>
      <c r="K200" s="620"/>
      <c r="L200" s="620"/>
      <c r="M200" s="620"/>
      <c r="N200" s="620"/>
      <c r="O200" s="620"/>
      <c r="P200" s="620"/>
      <c r="Q200" s="620"/>
      <c r="R200" s="620">
        <v>43980</v>
      </c>
      <c r="S200" s="617"/>
      <c r="T200" s="617"/>
      <c r="U200" s="617"/>
      <c r="V200" s="405"/>
    </row>
    <row r="201" spans="1:22" x14ac:dyDescent="0.35">
      <c r="A201" s="443"/>
      <c r="B201" s="444"/>
      <c r="C201" s="445"/>
      <c r="D201" s="445"/>
      <c r="E201" s="445"/>
      <c r="F201" s="445"/>
      <c r="G201" s="446"/>
      <c r="H201" s="446"/>
      <c r="I201" s="446"/>
      <c r="J201" s="446"/>
      <c r="K201" s="446"/>
      <c r="L201" s="446"/>
      <c r="M201" s="446"/>
      <c r="N201" s="446"/>
      <c r="O201" s="446"/>
      <c r="P201" s="446"/>
      <c r="Q201" s="446"/>
      <c r="R201" s="446"/>
      <c r="S201" s="409"/>
      <c r="T201" s="409"/>
      <c r="U201" s="409"/>
      <c r="V201" s="405"/>
    </row>
    <row r="202" spans="1:22" s="507" customFormat="1" x14ac:dyDescent="0.35">
      <c r="A202" s="520"/>
      <c r="B202" s="521" t="s">
        <v>73</v>
      </c>
      <c r="C202" s="576"/>
      <c r="D202" s="576"/>
      <c r="E202" s="576"/>
      <c r="F202" s="576"/>
      <c r="G202" s="548"/>
      <c r="H202" s="548"/>
      <c r="I202" s="548"/>
      <c r="J202" s="548"/>
      <c r="K202" s="548"/>
      <c r="L202" s="548"/>
      <c r="M202" s="548"/>
      <c r="N202" s="548"/>
      <c r="O202" s="548"/>
      <c r="P202" s="548"/>
      <c r="Q202" s="548"/>
      <c r="R202" s="540">
        <v>5.3960000000000001E-2</v>
      </c>
      <c r="S202" s="521"/>
      <c r="T202" s="521"/>
      <c r="U202" s="523"/>
      <c r="V202" s="506"/>
    </row>
    <row r="203" spans="1:22" s="507" customFormat="1" x14ac:dyDescent="0.35">
      <c r="A203" s="520"/>
      <c r="B203" s="521" t="s">
        <v>159</v>
      </c>
      <c r="C203" s="576"/>
      <c r="D203" s="576"/>
      <c r="E203" s="576"/>
      <c r="F203" s="576"/>
      <c r="G203" s="548"/>
      <c r="H203" s="548"/>
      <c r="I203" s="548"/>
      <c r="J203" s="548"/>
      <c r="K203" s="548"/>
      <c r="L203" s="548"/>
      <c r="M203" s="548"/>
      <c r="N203" s="548"/>
      <c r="O203" s="548"/>
      <c r="P203" s="548"/>
      <c r="Q203" s="548"/>
      <c r="R203" s="540">
        <v>4.7399999999999998E-2</v>
      </c>
      <c r="S203" s="521"/>
      <c r="T203" s="521"/>
      <c r="U203" s="523"/>
      <c r="V203" s="506"/>
    </row>
    <row r="204" spans="1:22" s="507" customFormat="1" x14ac:dyDescent="0.35">
      <c r="A204" s="520"/>
      <c r="B204" s="521" t="s">
        <v>74</v>
      </c>
      <c r="C204" s="576"/>
      <c r="D204" s="576"/>
      <c r="E204" s="576"/>
      <c r="F204" s="576"/>
      <c r="G204" s="548"/>
      <c r="H204" s="548"/>
      <c r="I204" s="548"/>
      <c r="J204" s="548"/>
      <c r="K204" s="548"/>
      <c r="L204" s="548"/>
      <c r="M204" s="548"/>
      <c r="N204" s="548"/>
      <c r="O204" s="548"/>
      <c r="P204" s="548"/>
      <c r="Q204" s="548"/>
      <c r="R204" s="540">
        <f>R202-R203</f>
        <v>6.5600000000000033E-3</v>
      </c>
      <c r="S204" s="521"/>
      <c r="T204" s="521"/>
      <c r="U204" s="523"/>
      <c r="V204" s="506"/>
    </row>
    <row r="205" spans="1:22" s="507" customFormat="1" x14ac:dyDescent="0.35">
      <c r="A205" s="520"/>
      <c r="B205" s="521" t="s">
        <v>75</v>
      </c>
      <c r="C205" s="576"/>
      <c r="D205" s="576"/>
      <c r="E205" s="576"/>
      <c r="F205" s="576"/>
      <c r="G205" s="548"/>
      <c r="H205" s="548"/>
      <c r="I205" s="548"/>
      <c r="J205" s="548"/>
      <c r="K205" s="548"/>
      <c r="L205" s="548"/>
      <c r="M205" s="548"/>
      <c r="N205" s="548"/>
      <c r="O205" s="548"/>
      <c r="P205" s="548"/>
      <c r="Q205" s="548"/>
      <c r="R205" s="540">
        <v>2.298E-2</v>
      </c>
      <c r="S205" s="521"/>
      <c r="T205" s="521"/>
      <c r="U205" s="523"/>
      <c r="V205" s="506"/>
    </row>
    <row r="206" spans="1:22" s="507" customFormat="1" x14ac:dyDescent="0.35">
      <c r="A206" s="520"/>
      <c r="B206" s="521" t="s">
        <v>262</v>
      </c>
      <c r="C206" s="576"/>
      <c r="D206" s="576"/>
      <c r="E206" s="576"/>
      <c r="F206" s="576"/>
      <c r="G206" s="548"/>
      <c r="H206" s="548"/>
      <c r="I206" s="548"/>
      <c r="J206" s="548"/>
      <c r="K206" s="548"/>
      <c r="L206" s="548"/>
      <c r="M206" s="548"/>
      <c r="N206" s="548"/>
      <c r="O206" s="548"/>
      <c r="P206" s="548"/>
      <c r="Q206" s="548"/>
      <c r="R206" s="540">
        <f>T43</f>
        <v>9.627020418367091E-3</v>
      </c>
      <c r="S206" s="521"/>
      <c r="T206" s="521"/>
      <c r="U206" s="523"/>
      <c r="V206" s="506"/>
    </row>
    <row r="207" spans="1:22" s="507" customFormat="1" x14ac:dyDescent="0.35">
      <c r="A207" s="520"/>
      <c r="B207" s="521" t="s">
        <v>76</v>
      </c>
      <c r="C207" s="576"/>
      <c r="D207" s="576"/>
      <c r="E207" s="576"/>
      <c r="F207" s="576"/>
      <c r="G207" s="548"/>
      <c r="H207" s="548"/>
      <c r="I207" s="548"/>
      <c r="J207" s="548"/>
      <c r="K207" s="548"/>
      <c r="L207" s="548"/>
      <c r="M207" s="548"/>
      <c r="N207" s="548"/>
      <c r="O207" s="548"/>
      <c r="P207" s="548"/>
      <c r="Q207" s="548"/>
      <c r="R207" s="540">
        <f>R205-R206</f>
        <v>1.3352979581632909E-2</v>
      </c>
      <c r="S207" s="521"/>
      <c r="T207" s="521"/>
      <c r="U207" s="523"/>
      <c r="V207" s="506"/>
    </row>
    <row r="208" spans="1:22" s="507" customFormat="1" x14ac:dyDescent="0.35">
      <c r="A208" s="520"/>
      <c r="B208" s="521" t="s">
        <v>269</v>
      </c>
      <c r="C208" s="576"/>
      <c r="D208" s="576"/>
      <c r="E208" s="576"/>
      <c r="F208" s="576"/>
      <c r="G208" s="548"/>
      <c r="H208" s="548"/>
      <c r="I208" s="548"/>
      <c r="J208" s="548"/>
      <c r="K208" s="548"/>
      <c r="L208" s="548"/>
      <c r="M208" s="548"/>
      <c r="N208" s="548"/>
      <c r="O208" s="548"/>
      <c r="P208" s="548"/>
      <c r="Q208" s="548"/>
      <c r="R208" s="540">
        <f>+T99/L67</f>
        <v>5.8632443071802336E-3</v>
      </c>
      <c r="S208" s="521"/>
      <c r="T208" s="521"/>
      <c r="U208" s="523"/>
      <c r="V208" s="506"/>
    </row>
    <row r="209" spans="1:22" s="507" customFormat="1" x14ac:dyDescent="0.35">
      <c r="A209" s="520"/>
      <c r="B209" s="521" t="s">
        <v>251</v>
      </c>
      <c r="C209" s="576"/>
      <c r="D209" s="576"/>
      <c r="E209" s="576"/>
      <c r="F209" s="576"/>
      <c r="G209" s="548"/>
      <c r="H209" s="548"/>
      <c r="I209" s="548"/>
      <c r="J209" s="548"/>
      <c r="K209" s="548"/>
      <c r="L209" s="548"/>
      <c r="M209" s="548"/>
      <c r="N209" s="548"/>
      <c r="O209" s="548"/>
      <c r="P209" s="548"/>
      <c r="Q209" s="548"/>
      <c r="R209" s="577">
        <v>51653</v>
      </c>
      <c r="S209" s="521"/>
      <c r="T209" s="521"/>
      <c r="U209" s="523"/>
      <c r="V209" s="506"/>
    </row>
    <row r="210" spans="1:22" s="507" customFormat="1" x14ac:dyDescent="0.35">
      <c r="A210" s="520"/>
      <c r="B210" s="521" t="s">
        <v>252</v>
      </c>
      <c r="C210" s="576"/>
      <c r="D210" s="576"/>
      <c r="E210" s="576"/>
      <c r="F210" s="576"/>
      <c r="G210" s="548"/>
      <c r="H210" s="548"/>
      <c r="I210" s="548"/>
      <c r="J210" s="548"/>
      <c r="K210" s="548"/>
      <c r="L210" s="548"/>
      <c r="M210" s="548"/>
      <c r="N210" s="548"/>
      <c r="O210" s="548"/>
      <c r="P210" s="548"/>
      <c r="Q210" s="548"/>
      <c r="R210" s="577">
        <v>51653</v>
      </c>
      <c r="S210" s="521"/>
      <c r="T210" s="521"/>
      <c r="U210" s="523"/>
      <c r="V210" s="506"/>
    </row>
    <row r="211" spans="1:22" s="507" customFormat="1" x14ac:dyDescent="0.35">
      <c r="A211" s="520"/>
      <c r="B211" s="521" t="s">
        <v>253</v>
      </c>
      <c r="C211" s="576"/>
      <c r="D211" s="576"/>
      <c r="E211" s="576"/>
      <c r="F211" s="576"/>
      <c r="G211" s="548"/>
      <c r="H211" s="548"/>
      <c r="I211" s="548"/>
      <c r="J211" s="548"/>
      <c r="K211" s="548"/>
      <c r="L211" s="548"/>
      <c r="M211" s="548"/>
      <c r="N211" s="548"/>
      <c r="O211" s="548"/>
      <c r="P211" s="548"/>
      <c r="Q211" s="548"/>
      <c r="R211" s="577">
        <v>51653</v>
      </c>
      <c r="S211" s="521"/>
      <c r="T211" s="521"/>
      <c r="U211" s="523"/>
      <c r="V211" s="506"/>
    </row>
    <row r="212" spans="1:22" s="507" customFormat="1" x14ac:dyDescent="0.35">
      <c r="A212" s="520"/>
      <c r="B212" s="521" t="s">
        <v>77</v>
      </c>
      <c r="C212" s="576"/>
      <c r="D212" s="576"/>
      <c r="E212" s="576"/>
      <c r="F212" s="576"/>
      <c r="G212" s="548"/>
      <c r="H212" s="548"/>
      <c r="I212" s="548"/>
      <c r="J212" s="548"/>
      <c r="K212" s="548"/>
      <c r="L212" s="548"/>
      <c r="M212" s="548"/>
      <c r="N212" s="548"/>
      <c r="O212" s="548"/>
      <c r="P212" s="548"/>
      <c r="Q212" s="548"/>
      <c r="R212" s="546">
        <v>21.48</v>
      </c>
      <c r="S212" s="521" t="s">
        <v>117</v>
      </c>
      <c r="T212" s="521"/>
      <c r="U212" s="523"/>
      <c r="V212" s="506"/>
    </row>
    <row r="213" spans="1:22" s="507" customFormat="1" x14ac:dyDescent="0.35">
      <c r="A213" s="520"/>
      <c r="B213" s="521" t="s">
        <v>78</v>
      </c>
      <c r="C213" s="576"/>
      <c r="D213" s="576"/>
      <c r="E213" s="576"/>
      <c r="F213" s="576"/>
      <c r="G213" s="548"/>
      <c r="H213" s="548"/>
      <c r="I213" s="548"/>
      <c r="J213" s="548"/>
      <c r="K213" s="548"/>
      <c r="L213" s="548"/>
      <c r="M213" s="548"/>
      <c r="N213" s="548"/>
      <c r="O213" s="548"/>
      <c r="P213" s="548"/>
      <c r="Q213" s="548"/>
      <c r="R213" s="546">
        <v>8.24</v>
      </c>
      <c r="S213" s="521" t="s">
        <v>117</v>
      </c>
      <c r="T213" s="521"/>
      <c r="U213" s="523"/>
      <c r="V213" s="506"/>
    </row>
    <row r="214" spans="1:22" s="507" customFormat="1" x14ac:dyDescent="0.35">
      <c r="A214" s="520"/>
      <c r="B214" s="521" t="s">
        <v>79</v>
      </c>
      <c r="C214" s="576"/>
      <c r="D214" s="576"/>
      <c r="E214" s="576"/>
      <c r="F214" s="576"/>
      <c r="G214" s="548"/>
      <c r="H214" s="548"/>
      <c r="I214" s="548"/>
      <c r="J214" s="548"/>
      <c r="K214" s="548"/>
      <c r="L214" s="548"/>
      <c r="M214" s="548"/>
      <c r="N214" s="548"/>
      <c r="O214" s="548"/>
      <c r="P214" s="548"/>
      <c r="Q214" s="548"/>
      <c r="R214" s="540">
        <f>+N67/L67</f>
        <v>1.5554239810532717E-2</v>
      </c>
      <c r="S214" s="521"/>
      <c r="T214" s="521"/>
      <c r="U214" s="523"/>
      <c r="V214" s="506"/>
    </row>
    <row r="215" spans="1:22" s="507" customFormat="1" x14ac:dyDescent="0.35">
      <c r="A215" s="520"/>
      <c r="B215" s="521" t="s">
        <v>80</v>
      </c>
      <c r="C215" s="576"/>
      <c r="D215" s="576"/>
      <c r="E215" s="576"/>
      <c r="F215" s="576"/>
      <c r="G215" s="548"/>
      <c r="H215" s="548"/>
      <c r="I215" s="548"/>
      <c r="J215" s="548"/>
      <c r="K215" s="548"/>
      <c r="L215" s="548"/>
      <c r="M215" s="548"/>
      <c r="N215" s="548"/>
      <c r="O215" s="548"/>
      <c r="P215" s="548"/>
      <c r="Q215" s="548"/>
      <c r="R215" s="540">
        <v>8.2100000000000006E-2</v>
      </c>
      <c r="S215" s="521"/>
      <c r="T215" s="521"/>
      <c r="U215" s="523"/>
      <c r="V215" s="506"/>
    </row>
    <row r="216" spans="1:22" x14ac:dyDescent="0.35">
      <c r="A216" s="443"/>
      <c r="B216" s="423"/>
      <c r="C216" s="423"/>
      <c r="D216" s="423"/>
      <c r="E216" s="423"/>
      <c r="F216" s="423"/>
      <c r="G216" s="423"/>
      <c r="H216" s="423"/>
      <c r="I216" s="423"/>
      <c r="J216" s="423"/>
      <c r="K216" s="423"/>
      <c r="L216" s="423"/>
      <c r="M216" s="423"/>
      <c r="N216" s="423"/>
      <c r="O216" s="423"/>
      <c r="P216" s="423"/>
      <c r="Q216" s="423"/>
      <c r="R216" s="447"/>
      <c r="S216" s="423"/>
      <c r="T216" s="448"/>
      <c r="U216" s="423"/>
      <c r="V216" s="405"/>
    </row>
    <row r="217" spans="1:22" x14ac:dyDescent="0.35">
      <c r="A217" s="621"/>
      <c r="B217" s="610" t="s">
        <v>81</v>
      </c>
      <c r="C217" s="611"/>
      <c r="D217" s="611"/>
      <c r="E217" s="611"/>
      <c r="F217" s="627"/>
      <c r="G217" s="611"/>
      <c r="H217" s="611"/>
      <c r="I217" s="611"/>
      <c r="J217" s="611"/>
      <c r="K217" s="611"/>
      <c r="L217" s="611"/>
      <c r="M217" s="611"/>
      <c r="N217" s="611"/>
      <c r="O217" s="611"/>
      <c r="P217" s="611"/>
      <c r="Q217" s="611" t="s">
        <v>106</v>
      </c>
      <c r="R217" s="627" t="s">
        <v>113</v>
      </c>
      <c r="S217" s="628"/>
      <c r="T217" s="628"/>
      <c r="U217" s="614"/>
      <c r="V217" s="405"/>
    </row>
    <row r="218" spans="1:22" s="507" customFormat="1" x14ac:dyDescent="0.35">
      <c r="A218" s="622"/>
      <c r="B218" s="554" t="s">
        <v>82</v>
      </c>
      <c r="C218" s="571"/>
      <c r="D218" s="571"/>
      <c r="E218" s="571"/>
      <c r="F218" s="554"/>
      <c r="G218" s="554"/>
      <c r="H218" s="623"/>
      <c r="I218" s="623"/>
      <c r="J218" s="623"/>
      <c r="K218" s="623"/>
      <c r="L218" s="623"/>
      <c r="M218" s="623"/>
      <c r="N218" s="623"/>
      <c r="O218" s="623"/>
      <c r="P218" s="623"/>
      <c r="Q218" s="623">
        <v>0</v>
      </c>
      <c r="R218" s="624">
        <v>0</v>
      </c>
      <c r="S218" s="554"/>
      <c r="T218" s="625"/>
      <c r="U218" s="626"/>
      <c r="V218" s="506"/>
    </row>
    <row r="219" spans="1:22" s="507" customFormat="1" x14ac:dyDescent="0.35">
      <c r="A219" s="578"/>
      <c r="B219" s="521" t="s">
        <v>152</v>
      </c>
      <c r="C219" s="564"/>
      <c r="D219" s="564"/>
      <c r="E219" s="564"/>
      <c r="F219" s="521"/>
      <c r="G219" s="521"/>
      <c r="H219" s="527"/>
      <c r="I219" s="527"/>
      <c r="J219" s="527"/>
      <c r="K219" s="527"/>
      <c r="L219" s="527"/>
      <c r="M219" s="527"/>
      <c r="N219" s="527"/>
      <c r="O219" s="527"/>
      <c r="P219" s="527"/>
      <c r="Q219" s="579">
        <f>+P271</f>
        <v>50</v>
      </c>
      <c r="R219" s="580">
        <f>+R271</f>
        <v>7270</v>
      </c>
      <c r="S219" s="521"/>
      <c r="T219" s="581"/>
      <c r="U219" s="582"/>
      <c r="V219" s="506"/>
    </row>
    <row r="220" spans="1:22" s="507" customFormat="1" x14ac:dyDescent="0.35">
      <c r="A220" s="578"/>
      <c r="B220" s="521" t="s">
        <v>83</v>
      </c>
      <c r="C220" s="564"/>
      <c r="D220" s="564"/>
      <c r="E220" s="564"/>
      <c r="F220" s="521"/>
      <c r="G220" s="521"/>
      <c r="H220" s="527"/>
      <c r="I220" s="527"/>
      <c r="J220" s="527"/>
      <c r="K220" s="527"/>
      <c r="L220" s="527"/>
      <c r="M220" s="527"/>
      <c r="N220" s="527"/>
      <c r="O220" s="527"/>
      <c r="P220" s="527"/>
      <c r="Q220" s="527">
        <v>0</v>
      </c>
      <c r="R220" s="580">
        <v>0</v>
      </c>
      <c r="S220" s="521"/>
      <c r="T220" s="581"/>
      <c r="U220" s="582"/>
      <c r="V220" s="506"/>
    </row>
    <row r="221" spans="1:22" x14ac:dyDescent="0.35">
      <c r="A221" s="449"/>
      <c r="B221" s="479" t="s">
        <v>84</v>
      </c>
      <c r="C221" s="451"/>
      <c r="D221" s="451"/>
      <c r="E221" s="451"/>
      <c r="F221" s="421"/>
      <c r="G221" s="421"/>
      <c r="H221" s="421"/>
      <c r="I221" s="421"/>
      <c r="J221" s="421"/>
      <c r="K221" s="421"/>
      <c r="L221" s="421"/>
      <c r="M221" s="421"/>
      <c r="N221" s="421"/>
      <c r="O221" s="421"/>
      <c r="P221" s="421"/>
      <c r="Q221" s="417"/>
      <c r="R221" s="580">
        <v>0</v>
      </c>
      <c r="S221" s="421"/>
      <c r="T221" s="452"/>
      <c r="U221" s="453"/>
      <c r="V221" s="405"/>
    </row>
    <row r="222" spans="1:22" x14ac:dyDescent="0.35">
      <c r="A222" s="449"/>
      <c r="B222" s="479" t="s">
        <v>85</v>
      </c>
      <c r="C222" s="451"/>
      <c r="D222" s="451"/>
      <c r="E222" s="451"/>
      <c r="F222" s="421"/>
      <c r="G222" s="421"/>
      <c r="H222" s="421"/>
      <c r="I222" s="421"/>
      <c r="J222" s="421"/>
      <c r="K222" s="421"/>
      <c r="L222" s="421"/>
      <c r="M222" s="421"/>
      <c r="N222" s="421"/>
      <c r="O222" s="421"/>
      <c r="P222" s="421"/>
      <c r="Q222" s="417"/>
      <c r="R222" s="585" t="s">
        <v>114</v>
      </c>
      <c r="S222" s="421"/>
      <c r="T222" s="452"/>
      <c r="U222" s="453"/>
      <c r="V222" s="405"/>
    </row>
    <row r="223" spans="1:22" x14ac:dyDescent="0.35">
      <c r="A223" s="454"/>
      <c r="B223" s="479" t="s">
        <v>86</v>
      </c>
      <c r="C223" s="455"/>
      <c r="D223" s="455"/>
      <c r="E223" s="455"/>
      <c r="F223" s="455"/>
      <c r="G223" s="421"/>
      <c r="H223" s="421"/>
      <c r="I223" s="421"/>
      <c r="J223" s="421"/>
      <c r="K223" s="421"/>
      <c r="L223" s="421"/>
      <c r="M223" s="421"/>
      <c r="N223" s="421"/>
      <c r="O223" s="421"/>
      <c r="P223" s="421"/>
      <c r="Q223" s="417"/>
      <c r="R223" s="580"/>
      <c r="S223" s="421"/>
      <c r="T223" s="452"/>
      <c r="U223" s="456"/>
      <c r="V223" s="405"/>
    </row>
    <row r="224" spans="1:22" s="507" customFormat="1" x14ac:dyDescent="0.35">
      <c r="A224" s="583"/>
      <c r="B224" s="521" t="s">
        <v>87</v>
      </c>
      <c r="C224" s="521"/>
      <c r="D224" s="521"/>
      <c r="E224" s="521"/>
      <c r="F224" s="521"/>
      <c r="G224" s="521"/>
      <c r="H224" s="521"/>
      <c r="I224" s="521"/>
      <c r="J224" s="521"/>
      <c r="K224" s="521"/>
      <c r="L224" s="521"/>
      <c r="M224" s="521"/>
      <c r="N224" s="521"/>
      <c r="O224" s="521"/>
      <c r="P224" s="521"/>
      <c r="Q224" s="527"/>
      <c r="R224" s="580">
        <f>+T168</f>
        <v>194</v>
      </c>
      <c r="S224" s="521"/>
      <c r="T224" s="581"/>
      <c r="U224" s="584"/>
      <c r="V224" s="506"/>
    </row>
    <row r="225" spans="1:23" s="507" customFormat="1" x14ac:dyDescent="0.35">
      <c r="A225" s="578"/>
      <c r="B225" s="521" t="s">
        <v>88</v>
      </c>
      <c r="C225" s="564"/>
      <c r="D225" s="564"/>
      <c r="E225" s="564"/>
      <c r="F225" s="564"/>
      <c r="G225" s="521"/>
      <c r="H225" s="521"/>
      <c r="I225" s="521"/>
      <c r="J225" s="521"/>
      <c r="K225" s="521"/>
      <c r="L225" s="521"/>
      <c r="M225" s="521"/>
      <c r="N225" s="521"/>
      <c r="O225" s="521"/>
      <c r="P225" s="521"/>
      <c r="Q225" s="580"/>
      <c r="R225" s="580">
        <f>'Feb 20'!R225+R224</f>
        <v>8020</v>
      </c>
      <c r="S225" s="521"/>
      <c r="T225" s="581"/>
      <c r="U225" s="584"/>
      <c r="V225" s="506"/>
    </row>
    <row r="226" spans="1:23" x14ac:dyDescent="0.35">
      <c r="A226" s="454"/>
      <c r="B226" s="479" t="s">
        <v>295</v>
      </c>
      <c r="C226" s="455"/>
      <c r="D226" s="455"/>
      <c r="E226" s="455"/>
      <c r="F226" s="455"/>
      <c r="G226" s="421"/>
      <c r="H226" s="421"/>
      <c r="I226" s="421"/>
      <c r="J226" s="421"/>
      <c r="K226" s="421"/>
      <c r="L226" s="421"/>
      <c r="M226" s="421"/>
      <c r="N226" s="421"/>
      <c r="O226" s="421"/>
      <c r="P226" s="421"/>
      <c r="Q226" s="419"/>
      <c r="R226" s="450"/>
      <c r="S226" s="421"/>
      <c r="T226" s="452"/>
      <c r="U226" s="456"/>
      <c r="V226" s="405"/>
    </row>
    <row r="227" spans="1:23" s="507" customFormat="1" x14ac:dyDescent="0.35">
      <c r="A227" s="583"/>
      <c r="B227" s="521" t="s">
        <v>292</v>
      </c>
      <c r="C227" s="521"/>
      <c r="D227" s="521"/>
      <c r="E227" s="521"/>
      <c r="F227" s="521"/>
      <c r="G227" s="521"/>
      <c r="H227" s="521"/>
      <c r="I227" s="521"/>
      <c r="J227" s="521"/>
      <c r="K227" s="521"/>
      <c r="L227" s="521"/>
      <c r="M227" s="521"/>
      <c r="N227" s="521"/>
      <c r="O227" s="521"/>
      <c r="P227" s="521"/>
      <c r="Q227" s="527">
        <v>0</v>
      </c>
      <c r="R227" s="580">
        <v>0</v>
      </c>
      <c r="S227" s="521"/>
      <c r="T227" s="581"/>
      <c r="U227" s="584"/>
      <c r="V227" s="506"/>
    </row>
    <row r="228" spans="1:23" s="507" customFormat="1" x14ac:dyDescent="0.35">
      <c r="A228" s="578"/>
      <c r="B228" s="521" t="s">
        <v>90</v>
      </c>
      <c r="C228" s="543"/>
      <c r="D228" s="543"/>
      <c r="E228" s="543"/>
      <c r="F228" s="586"/>
      <c r="G228" s="521"/>
      <c r="H228" s="521"/>
      <c r="I228" s="521"/>
      <c r="J228" s="521"/>
      <c r="K228" s="521"/>
      <c r="L228" s="521"/>
      <c r="M228" s="521"/>
      <c r="N228" s="521"/>
      <c r="O228" s="521"/>
      <c r="P228" s="521"/>
      <c r="Q228" s="521"/>
      <c r="R228" s="585">
        <v>0</v>
      </c>
      <c r="S228" s="521"/>
      <c r="T228" s="581"/>
      <c r="U228" s="584"/>
      <c r="V228" s="506"/>
    </row>
    <row r="229" spans="1:23" s="507" customFormat="1" x14ac:dyDescent="0.35">
      <c r="A229" s="578"/>
      <c r="B229" s="521" t="s">
        <v>91</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x14ac:dyDescent="0.35">
      <c r="A230" s="449"/>
      <c r="B230" s="479" t="s">
        <v>260</v>
      </c>
      <c r="C230" s="457"/>
      <c r="D230" s="457"/>
      <c r="E230" s="457"/>
      <c r="F230" s="458"/>
      <c r="G230" s="421"/>
      <c r="H230" s="421"/>
      <c r="I230" s="421"/>
      <c r="J230" s="421"/>
      <c r="K230" s="421"/>
      <c r="L230" s="421"/>
      <c r="M230" s="421"/>
      <c r="N230" s="421"/>
      <c r="O230" s="421"/>
      <c r="P230" s="421"/>
      <c r="Q230" s="417"/>
      <c r="R230" s="459"/>
      <c r="S230" s="421"/>
      <c r="T230" s="452"/>
      <c r="U230" s="456"/>
      <c r="V230" s="405"/>
    </row>
    <row r="231" spans="1:23" s="507" customFormat="1" x14ac:dyDescent="0.35">
      <c r="A231" s="578"/>
      <c r="B231" s="521" t="s">
        <v>292</v>
      </c>
      <c r="C231" s="543"/>
      <c r="D231" s="543"/>
      <c r="E231" s="543"/>
      <c r="F231" s="586"/>
      <c r="G231" s="521"/>
      <c r="H231" s="521"/>
      <c r="I231" s="521"/>
      <c r="J231" s="521"/>
      <c r="K231" s="521"/>
      <c r="L231" s="521"/>
      <c r="M231" s="521"/>
      <c r="N231" s="521"/>
      <c r="O231" s="521"/>
      <c r="P231" s="521"/>
      <c r="Q231" s="527">
        <v>2</v>
      </c>
      <c r="R231" s="580">
        <v>332</v>
      </c>
      <c r="S231" s="521"/>
      <c r="T231" s="581"/>
      <c r="U231" s="584"/>
      <c r="V231" s="506"/>
    </row>
    <row r="232" spans="1:23" s="507" customFormat="1" x14ac:dyDescent="0.35">
      <c r="A232" s="578"/>
      <c r="B232" s="521" t="s">
        <v>261</v>
      </c>
      <c r="C232" s="543"/>
      <c r="D232" s="543"/>
      <c r="E232" s="543"/>
      <c r="F232" s="586"/>
      <c r="G232" s="521"/>
      <c r="H232" s="521"/>
      <c r="I232" s="521"/>
      <c r="J232" s="521"/>
      <c r="K232" s="521"/>
      <c r="L232" s="521"/>
      <c r="M232" s="521"/>
      <c r="N232" s="521"/>
      <c r="O232" s="521"/>
      <c r="P232" s="521"/>
      <c r="Q232" s="521"/>
      <c r="R232" s="585">
        <v>0</v>
      </c>
      <c r="S232" s="521"/>
      <c r="T232" s="581"/>
      <c r="U232" s="584"/>
      <c r="V232" s="506"/>
    </row>
    <row r="233" spans="1:23" x14ac:dyDescent="0.35">
      <c r="A233" s="449"/>
      <c r="B233" s="455"/>
      <c r="C233" s="457"/>
      <c r="D233" s="457"/>
      <c r="E233" s="457"/>
      <c r="F233" s="458"/>
      <c r="G233" s="421"/>
      <c r="H233" s="421"/>
      <c r="I233" s="421"/>
      <c r="J233" s="421"/>
      <c r="K233" s="421"/>
      <c r="L233" s="421"/>
      <c r="M233" s="421"/>
      <c r="N233" s="421"/>
      <c r="O233" s="421"/>
      <c r="P233" s="421"/>
      <c r="Q233" s="417"/>
      <c r="R233" s="459"/>
      <c r="S233" s="421"/>
      <c r="T233" s="452"/>
      <c r="U233" s="456"/>
      <c r="V233" s="405"/>
    </row>
    <row r="234" spans="1:23" x14ac:dyDescent="0.35">
      <c r="A234" s="449"/>
      <c r="B234" s="455"/>
      <c r="C234" s="457"/>
      <c r="D234" s="457"/>
      <c r="E234" s="457"/>
      <c r="F234" s="458"/>
      <c r="G234" s="421"/>
      <c r="H234" s="421"/>
      <c r="I234" s="421"/>
      <c r="J234" s="421"/>
      <c r="K234" s="421"/>
      <c r="L234" s="421"/>
      <c r="M234" s="421"/>
      <c r="N234" s="421"/>
      <c r="O234" s="421"/>
      <c r="P234" s="421"/>
      <c r="Q234" s="421"/>
      <c r="R234" s="460"/>
      <c r="S234" s="421"/>
      <c r="T234" s="452"/>
      <c r="U234" s="456"/>
      <c r="V234" s="405"/>
    </row>
    <row r="235" spans="1:23" ht="18.5" x14ac:dyDescent="0.45">
      <c r="A235" s="449"/>
      <c r="B235" s="478" t="s">
        <v>178</v>
      </c>
      <c r="C235" s="457"/>
      <c r="D235" s="457"/>
      <c r="E235" s="457"/>
      <c r="F235" s="458"/>
      <c r="G235" s="421"/>
      <c r="H235" s="421"/>
      <c r="I235" s="421"/>
      <c r="J235" s="421"/>
      <c r="K235" s="421"/>
      <c r="L235" s="421"/>
      <c r="M235" s="421"/>
      <c r="N235" s="475" t="s">
        <v>361</v>
      </c>
      <c r="O235" s="421"/>
      <c r="P235" s="421"/>
      <c r="Q235" s="421"/>
      <c r="R235" s="460"/>
      <c r="S235" s="421"/>
      <c r="T235" s="452"/>
      <c r="U235" s="456"/>
      <c r="V235" s="405"/>
    </row>
    <row r="236" spans="1:23" x14ac:dyDescent="0.35">
      <c r="A236" s="461"/>
      <c r="B236" s="462"/>
      <c r="C236" s="463"/>
      <c r="D236" s="463"/>
      <c r="E236" s="463"/>
      <c r="F236" s="464"/>
      <c r="G236" s="427"/>
      <c r="H236" s="427"/>
      <c r="I236" s="427"/>
      <c r="J236" s="427"/>
      <c r="K236" s="427"/>
      <c r="L236" s="427"/>
      <c r="M236" s="427"/>
      <c r="N236" s="427"/>
      <c r="O236" s="427"/>
      <c r="P236" s="427"/>
      <c r="Q236" s="427"/>
      <c r="R236" s="465"/>
      <c r="S236" s="427"/>
      <c r="T236" s="466"/>
      <c r="U236" s="467"/>
      <c r="V236" s="405"/>
    </row>
    <row r="237" spans="1:23" x14ac:dyDescent="0.35">
      <c r="A237" s="599"/>
      <c r="B237" s="610" t="s">
        <v>307</v>
      </c>
      <c r="C237" s="611"/>
      <c r="D237" s="611"/>
      <c r="E237" s="611"/>
      <c r="F237" s="627"/>
      <c r="G237" s="611"/>
      <c r="H237" s="611"/>
      <c r="I237" s="611"/>
      <c r="J237" s="611"/>
      <c r="K237" s="611"/>
      <c r="L237" s="611"/>
      <c r="M237" s="611"/>
      <c r="N237" s="611"/>
      <c r="O237" s="611"/>
      <c r="P237" s="627" t="s">
        <v>106</v>
      </c>
      <c r="Q237" s="611" t="s">
        <v>107</v>
      </c>
      <c r="R237" s="627" t="s">
        <v>115</v>
      </c>
      <c r="S237" s="611" t="s">
        <v>107</v>
      </c>
      <c r="T237" s="628"/>
      <c r="U237" s="631"/>
      <c r="V237" s="405"/>
    </row>
    <row r="238" spans="1:23" s="507" customFormat="1" x14ac:dyDescent="0.35">
      <c r="A238" s="508"/>
      <c r="B238" s="571" t="s">
        <v>92</v>
      </c>
      <c r="C238" s="629"/>
      <c r="D238" s="629"/>
      <c r="E238" s="629"/>
      <c r="F238" s="554"/>
      <c r="G238" s="629"/>
      <c r="H238" s="629"/>
      <c r="I238" s="629"/>
      <c r="J238" s="629"/>
      <c r="K238" s="629"/>
      <c r="L238" s="629"/>
      <c r="M238" s="629"/>
      <c r="N238" s="629"/>
      <c r="O238" s="629"/>
      <c r="P238" s="571">
        <f t="shared" ref="P238:P245" si="1">+P250+P262+P284</f>
        <v>2298</v>
      </c>
      <c r="Q238" s="589">
        <f t="shared" ref="Q238:Q245" si="2">P238/$P$247</f>
        <v>0.98457583547557836</v>
      </c>
      <c r="R238" s="594">
        <f t="shared" ref="R238:R245" si="3">+R250+R262+R284</f>
        <v>302531</v>
      </c>
      <c r="S238" s="589">
        <f t="shared" ref="S238:S245" si="4">R238/$R$247</f>
        <v>0.9835367935109478</v>
      </c>
      <c r="T238" s="625"/>
      <c r="U238" s="630"/>
      <c r="V238" s="506"/>
    </row>
    <row r="239" spans="1:23" s="507" customFormat="1" x14ac:dyDescent="0.35">
      <c r="A239" s="520"/>
      <c r="B239" s="564" t="s">
        <v>93</v>
      </c>
      <c r="C239" s="588"/>
      <c r="D239" s="588"/>
      <c r="E239" s="588"/>
      <c r="F239" s="521"/>
      <c r="G239" s="587"/>
      <c r="H239" s="588"/>
      <c r="I239" s="588"/>
      <c r="J239" s="588"/>
      <c r="K239" s="588"/>
      <c r="L239" s="588"/>
      <c r="M239" s="588"/>
      <c r="N239" s="588"/>
      <c r="O239" s="588"/>
      <c r="P239" s="564">
        <f t="shared" si="1"/>
        <v>26</v>
      </c>
      <c r="Q239" s="587">
        <f t="shared" si="2"/>
        <v>1.1139674378748929E-2</v>
      </c>
      <c r="R239" s="565">
        <f t="shared" si="3"/>
        <v>4010</v>
      </c>
      <c r="S239" s="587">
        <f t="shared" si="4"/>
        <v>1.303662283197061E-2</v>
      </c>
      <c r="T239" s="581"/>
      <c r="U239" s="584"/>
      <c r="V239" s="506"/>
      <c r="W239" s="570"/>
    </row>
    <row r="240" spans="1:23" s="507" customFormat="1" x14ac:dyDescent="0.35">
      <c r="A240" s="520"/>
      <c r="B240" s="564" t="s">
        <v>94</v>
      </c>
      <c r="C240" s="588"/>
      <c r="D240" s="588"/>
      <c r="E240" s="588"/>
      <c r="F240" s="521"/>
      <c r="G240" s="587"/>
      <c r="H240" s="588"/>
      <c r="I240" s="588"/>
      <c r="J240" s="588"/>
      <c r="K240" s="588"/>
      <c r="L240" s="588"/>
      <c r="M240" s="588"/>
      <c r="N240" s="588"/>
      <c r="O240" s="588"/>
      <c r="P240" s="564">
        <f t="shared" si="1"/>
        <v>1</v>
      </c>
      <c r="Q240" s="587">
        <f t="shared" si="2"/>
        <v>4.2844901456726652E-4</v>
      </c>
      <c r="R240" s="565">
        <f t="shared" si="3"/>
        <v>158</v>
      </c>
      <c r="S240" s="587">
        <f t="shared" si="4"/>
        <v>5.1366244574846799E-4</v>
      </c>
      <c r="T240" s="581"/>
      <c r="U240" s="584"/>
      <c r="V240" s="506"/>
    </row>
    <row r="241" spans="1:23" s="507" customFormat="1" x14ac:dyDescent="0.35">
      <c r="A241" s="520"/>
      <c r="B241" s="564" t="s">
        <v>164</v>
      </c>
      <c r="C241" s="588"/>
      <c r="D241" s="588"/>
      <c r="E241" s="588"/>
      <c r="F241" s="521"/>
      <c r="G241" s="587"/>
      <c r="H241" s="588"/>
      <c r="I241" s="588"/>
      <c r="J241" s="588"/>
      <c r="K241" s="588"/>
      <c r="L241" s="588"/>
      <c r="M241" s="588"/>
      <c r="N241" s="588"/>
      <c r="O241" s="588"/>
      <c r="P241" s="564">
        <f t="shared" si="1"/>
        <v>7</v>
      </c>
      <c r="Q241" s="587">
        <f t="shared" si="2"/>
        <v>2.9991431019708655E-3</v>
      </c>
      <c r="R241" s="565">
        <f t="shared" si="3"/>
        <v>716</v>
      </c>
      <c r="S241" s="587">
        <f t="shared" si="4"/>
        <v>2.3277361465563486E-3</v>
      </c>
      <c r="T241" s="581"/>
      <c r="U241" s="584"/>
      <c r="V241" s="506"/>
      <c r="W241" s="570"/>
    </row>
    <row r="242" spans="1:23" s="507" customFormat="1" x14ac:dyDescent="0.35">
      <c r="A242" s="520"/>
      <c r="B242" s="564" t="s">
        <v>165</v>
      </c>
      <c r="C242" s="588"/>
      <c r="D242" s="588"/>
      <c r="E242" s="588"/>
      <c r="F242" s="521"/>
      <c r="G242" s="587"/>
      <c r="H242" s="588"/>
      <c r="I242" s="588"/>
      <c r="J242" s="588"/>
      <c r="K242" s="588"/>
      <c r="L242" s="588"/>
      <c r="M242" s="588"/>
      <c r="N242" s="588"/>
      <c r="O242" s="588"/>
      <c r="P242" s="564">
        <f t="shared" si="1"/>
        <v>0</v>
      </c>
      <c r="Q242" s="587">
        <f t="shared" si="2"/>
        <v>0</v>
      </c>
      <c r="R242" s="565">
        <f t="shared" si="3"/>
        <v>0</v>
      </c>
      <c r="S242" s="587">
        <f t="shared" si="4"/>
        <v>0</v>
      </c>
      <c r="T242" s="581"/>
      <c r="U242" s="584"/>
      <c r="V242" s="506"/>
    </row>
    <row r="243" spans="1:23" s="507" customFormat="1" x14ac:dyDescent="0.35">
      <c r="A243" s="520"/>
      <c r="B243" s="564" t="s">
        <v>166</v>
      </c>
      <c r="C243" s="588"/>
      <c r="D243" s="588"/>
      <c r="E243" s="588"/>
      <c r="F243" s="521"/>
      <c r="G243" s="587"/>
      <c r="H243" s="588"/>
      <c r="I243" s="588"/>
      <c r="J243" s="588"/>
      <c r="K243" s="588"/>
      <c r="L243" s="588"/>
      <c r="M243" s="588"/>
      <c r="N243" s="588"/>
      <c r="O243" s="588"/>
      <c r="P243" s="564">
        <f t="shared" si="1"/>
        <v>0</v>
      </c>
      <c r="Q243" s="587">
        <f t="shared" si="2"/>
        <v>0</v>
      </c>
      <c r="R243" s="565">
        <f t="shared" si="3"/>
        <v>0</v>
      </c>
      <c r="S243" s="587">
        <f t="shared" si="4"/>
        <v>0</v>
      </c>
      <c r="T243" s="581"/>
      <c r="U243" s="584"/>
      <c r="V243" s="506"/>
      <c r="W243" s="570"/>
    </row>
    <row r="244" spans="1:23" s="507" customFormat="1" x14ac:dyDescent="0.35">
      <c r="A244" s="520"/>
      <c r="B244" s="564" t="s">
        <v>167</v>
      </c>
      <c r="C244" s="588"/>
      <c r="D244" s="588"/>
      <c r="E244" s="588"/>
      <c r="F244" s="521"/>
      <c r="G244" s="587"/>
      <c r="H244" s="588"/>
      <c r="I244" s="588"/>
      <c r="J244" s="588"/>
      <c r="K244" s="588"/>
      <c r="L244" s="588"/>
      <c r="M244" s="588"/>
      <c r="N244" s="588"/>
      <c r="O244" s="588"/>
      <c r="P244" s="564">
        <f t="shared" si="1"/>
        <v>2</v>
      </c>
      <c r="Q244" s="587">
        <f t="shared" si="2"/>
        <v>8.5689802913453304E-4</v>
      </c>
      <c r="R244" s="565">
        <f t="shared" si="3"/>
        <v>180</v>
      </c>
      <c r="S244" s="587">
        <f t="shared" si="4"/>
        <v>5.8518506477673563E-4</v>
      </c>
      <c r="T244" s="581"/>
      <c r="U244" s="584"/>
      <c r="V244" s="506"/>
    </row>
    <row r="245" spans="1:23" s="507" customFormat="1" x14ac:dyDescent="0.35">
      <c r="A245" s="520"/>
      <c r="B245" s="564" t="s">
        <v>168</v>
      </c>
      <c r="C245" s="588"/>
      <c r="D245" s="588"/>
      <c r="E245" s="588"/>
      <c r="F245" s="521"/>
      <c r="G245" s="587"/>
      <c r="H245" s="588"/>
      <c r="I245" s="588"/>
      <c r="J245" s="588"/>
      <c r="K245" s="588"/>
      <c r="L245" s="588"/>
      <c r="M245" s="588"/>
      <c r="N245" s="588"/>
      <c r="O245" s="588"/>
      <c r="P245" s="564">
        <f t="shared" si="1"/>
        <v>0</v>
      </c>
      <c r="Q245" s="587">
        <f t="shared" si="2"/>
        <v>0</v>
      </c>
      <c r="R245" s="565">
        <f t="shared" si="3"/>
        <v>0</v>
      </c>
      <c r="S245" s="589">
        <f t="shared" si="4"/>
        <v>0</v>
      </c>
      <c r="T245" s="581"/>
      <c r="U245" s="584"/>
      <c r="V245" s="506"/>
      <c r="W245" s="570"/>
    </row>
    <row r="246" spans="1:23" s="507" customFormat="1" x14ac:dyDescent="0.35">
      <c r="A246" s="520"/>
      <c r="B246" s="564"/>
      <c r="C246" s="588"/>
      <c r="D246" s="588"/>
      <c r="E246" s="588"/>
      <c r="F246" s="521"/>
      <c r="G246" s="587"/>
      <c r="H246" s="588"/>
      <c r="I246" s="588"/>
      <c r="J246" s="588"/>
      <c r="K246" s="588"/>
      <c r="L246" s="588"/>
      <c r="M246" s="588"/>
      <c r="N246" s="588"/>
      <c r="O246" s="588"/>
      <c r="P246" s="564"/>
      <c r="Q246" s="587"/>
      <c r="R246" s="565"/>
      <c r="S246" s="587"/>
      <c r="T246" s="581"/>
      <c r="U246" s="584"/>
      <c r="V246" s="506"/>
    </row>
    <row r="247" spans="1:23" s="507" customFormat="1" x14ac:dyDescent="0.35">
      <c r="A247" s="520"/>
      <c r="B247" s="521" t="s">
        <v>121</v>
      </c>
      <c r="C247" s="521"/>
      <c r="D247" s="521"/>
      <c r="E247" s="521"/>
      <c r="F247" s="521"/>
      <c r="G247" s="521"/>
      <c r="H247" s="590"/>
      <c r="I247" s="590"/>
      <c r="J247" s="590"/>
      <c r="K247" s="590"/>
      <c r="L247" s="590"/>
      <c r="M247" s="590"/>
      <c r="N247" s="590"/>
      <c r="O247" s="590"/>
      <c r="P247" s="564">
        <f>SUM(P238:P246)</f>
        <v>2334</v>
      </c>
      <c r="Q247" s="587">
        <f>SUM(Q238:Q246)</f>
        <v>1</v>
      </c>
      <c r="R247" s="565">
        <f>SUM(R238:R246)</f>
        <v>307595</v>
      </c>
      <c r="S247" s="587">
        <f>SUM(S238:S246)</f>
        <v>1</v>
      </c>
      <c r="T247" s="521"/>
      <c r="U247" s="523"/>
      <c r="V247" s="506"/>
    </row>
    <row r="248" spans="1:23" x14ac:dyDescent="0.35">
      <c r="A248" s="407"/>
      <c r="B248" s="423"/>
      <c r="C248" s="423"/>
      <c r="D248" s="423"/>
      <c r="E248" s="423"/>
      <c r="F248" s="423"/>
      <c r="G248" s="423"/>
      <c r="H248" s="468"/>
      <c r="I248" s="468"/>
      <c r="J248" s="468"/>
      <c r="K248" s="468"/>
      <c r="L248" s="468"/>
      <c r="M248" s="468"/>
      <c r="N248" s="468"/>
      <c r="O248" s="468"/>
      <c r="P248" s="435"/>
      <c r="Q248" s="469"/>
      <c r="R248" s="470"/>
      <c r="S248" s="469"/>
      <c r="T248" s="423"/>
      <c r="U248" s="423"/>
      <c r="V248" s="405"/>
    </row>
    <row r="249" spans="1:23" x14ac:dyDescent="0.35">
      <c r="A249" s="599"/>
      <c r="B249" s="610" t="s">
        <v>171</v>
      </c>
      <c r="C249" s="611"/>
      <c r="D249" s="611"/>
      <c r="E249" s="611"/>
      <c r="F249" s="627"/>
      <c r="G249" s="611"/>
      <c r="H249" s="611"/>
      <c r="I249" s="611"/>
      <c r="J249" s="611"/>
      <c r="K249" s="611"/>
      <c r="L249" s="611"/>
      <c r="M249" s="611"/>
      <c r="N249" s="611"/>
      <c r="O249" s="611"/>
      <c r="P249" s="627" t="s">
        <v>106</v>
      </c>
      <c r="Q249" s="611" t="s">
        <v>107</v>
      </c>
      <c r="R249" s="627" t="s">
        <v>115</v>
      </c>
      <c r="S249" s="611" t="s">
        <v>107</v>
      </c>
      <c r="T249" s="628"/>
      <c r="U249" s="631"/>
      <c r="V249" s="405"/>
    </row>
    <row r="250" spans="1:23" s="507" customFormat="1" x14ac:dyDescent="0.35">
      <c r="A250" s="508"/>
      <c r="B250" s="571" t="s">
        <v>92</v>
      </c>
      <c r="C250" s="629"/>
      <c r="D250" s="629"/>
      <c r="E250" s="629"/>
      <c r="F250" s="554"/>
      <c r="G250" s="629"/>
      <c r="H250" s="629"/>
      <c r="I250" s="629"/>
      <c r="J250" s="629"/>
      <c r="K250" s="629"/>
      <c r="L250" s="629"/>
      <c r="M250" s="629"/>
      <c r="N250" s="629"/>
      <c r="O250" s="629"/>
      <c r="P250" s="571">
        <v>2250</v>
      </c>
      <c r="Q250" s="632">
        <f t="shared" ref="Q250:Q257" si="5">P250/$P$259</f>
        <v>0.98511383537653241</v>
      </c>
      <c r="R250" s="594">
        <v>295512</v>
      </c>
      <c r="S250" s="632">
        <f t="shared" ref="S250:S257" si="6">R250/$R$259</f>
        <v>0.98397402813618584</v>
      </c>
      <c r="T250" s="625"/>
      <c r="U250" s="630"/>
      <c r="V250" s="506"/>
    </row>
    <row r="251" spans="1:23" s="507" customFormat="1" x14ac:dyDescent="0.35">
      <c r="A251" s="520"/>
      <c r="B251" s="564" t="s">
        <v>93</v>
      </c>
      <c r="C251" s="588"/>
      <c r="D251" s="588"/>
      <c r="E251" s="588"/>
      <c r="F251" s="521"/>
      <c r="G251" s="587"/>
      <c r="H251" s="588"/>
      <c r="I251" s="588"/>
      <c r="J251" s="588"/>
      <c r="K251" s="588"/>
      <c r="L251" s="588"/>
      <c r="M251" s="588"/>
      <c r="N251" s="588"/>
      <c r="O251" s="588"/>
      <c r="P251" s="564">
        <v>25</v>
      </c>
      <c r="Q251" s="587">
        <f t="shared" si="5"/>
        <v>1.0945709281961471E-2</v>
      </c>
      <c r="R251" s="565">
        <v>3914</v>
      </c>
      <c r="S251" s="587">
        <f t="shared" si="6"/>
        <v>1.3032548072921002E-2</v>
      </c>
      <c r="T251" s="581"/>
      <c r="U251" s="584"/>
      <c r="V251" s="506"/>
      <c r="W251" s="570"/>
    </row>
    <row r="252" spans="1:23" s="507" customFormat="1" x14ac:dyDescent="0.35">
      <c r="A252" s="520"/>
      <c r="B252" s="564" t="s">
        <v>94</v>
      </c>
      <c r="C252" s="588"/>
      <c r="D252" s="588"/>
      <c r="E252" s="588"/>
      <c r="F252" s="521"/>
      <c r="G252" s="587"/>
      <c r="H252" s="588"/>
      <c r="I252" s="588"/>
      <c r="J252" s="588"/>
      <c r="K252" s="588"/>
      <c r="L252" s="588"/>
      <c r="M252" s="588"/>
      <c r="N252" s="588"/>
      <c r="O252" s="588"/>
      <c r="P252" s="564">
        <v>1</v>
      </c>
      <c r="Q252" s="587">
        <f t="shared" si="5"/>
        <v>4.3782837127845885E-4</v>
      </c>
      <c r="R252" s="565">
        <v>158</v>
      </c>
      <c r="S252" s="587">
        <f t="shared" si="6"/>
        <v>5.2609672854407727E-4</v>
      </c>
      <c r="T252" s="581"/>
      <c r="U252" s="584"/>
      <c r="V252" s="506"/>
    </row>
    <row r="253" spans="1:23" s="507" customFormat="1" x14ac:dyDescent="0.35">
      <c r="A253" s="520"/>
      <c r="B253" s="564" t="s">
        <v>164</v>
      </c>
      <c r="C253" s="588"/>
      <c r="D253" s="588"/>
      <c r="E253" s="588"/>
      <c r="F253" s="521"/>
      <c r="G253" s="587"/>
      <c r="H253" s="588"/>
      <c r="I253" s="588"/>
      <c r="J253" s="588"/>
      <c r="K253" s="588"/>
      <c r="L253" s="588"/>
      <c r="M253" s="588"/>
      <c r="N253" s="588"/>
      <c r="O253" s="588"/>
      <c r="P253" s="564">
        <v>6</v>
      </c>
      <c r="Q253" s="587">
        <f t="shared" si="5"/>
        <v>2.6269702276707531E-3</v>
      </c>
      <c r="R253" s="565">
        <v>561</v>
      </c>
      <c r="S253" s="587">
        <f t="shared" si="6"/>
        <v>1.8679763589444767E-3</v>
      </c>
      <c r="T253" s="581"/>
      <c r="U253" s="584"/>
      <c r="V253" s="506"/>
      <c r="W253" s="570"/>
    </row>
    <row r="254" spans="1:23" s="507" customFormat="1" x14ac:dyDescent="0.35">
      <c r="A254" s="520"/>
      <c r="B254" s="564" t="s">
        <v>165</v>
      </c>
      <c r="C254" s="588"/>
      <c r="D254" s="588"/>
      <c r="E254" s="588"/>
      <c r="F254" s="521"/>
      <c r="G254" s="587"/>
      <c r="H254" s="588"/>
      <c r="I254" s="588"/>
      <c r="J254" s="588"/>
      <c r="K254" s="588"/>
      <c r="L254" s="588"/>
      <c r="M254" s="588"/>
      <c r="N254" s="588"/>
      <c r="O254" s="588"/>
      <c r="P254" s="564">
        <v>0</v>
      </c>
      <c r="Q254" s="587">
        <f t="shared" si="5"/>
        <v>0</v>
      </c>
      <c r="R254" s="565">
        <v>0</v>
      </c>
      <c r="S254" s="587">
        <f t="shared" si="6"/>
        <v>0</v>
      </c>
      <c r="T254" s="581"/>
      <c r="U254" s="584"/>
      <c r="V254" s="506"/>
    </row>
    <row r="255" spans="1:23" s="507" customFormat="1" x14ac:dyDescent="0.35">
      <c r="A255" s="520"/>
      <c r="B255" s="564" t="s">
        <v>166</v>
      </c>
      <c r="C255" s="588"/>
      <c r="D255" s="588"/>
      <c r="E255" s="588"/>
      <c r="F255" s="521"/>
      <c r="G255" s="587"/>
      <c r="H255" s="588"/>
      <c r="I255" s="588"/>
      <c r="J255" s="588"/>
      <c r="K255" s="588"/>
      <c r="L255" s="588"/>
      <c r="M255" s="588"/>
      <c r="N255" s="588"/>
      <c r="O255" s="588"/>
      <c r="P255" s="564">
        <v>0</v>
      </c>
      <c r="Q255" s="587">
        <f t="shared" si="5"/>
        <v>0</v>
      </c>
      <c r="R255" s="565">
        <v>0</v>
      </c>
      <c r="S255" s="587">
        <f t="shared" si="6"/>
        <v>0</v>
      </c>
      <c r="T255" s="581"/>
      <c r="U255" s="584"/>
      <c r="V255" s="506"/>
      <c r="W255" s="570"/>
    </row>
    <row r="256" spans="1:23" s="507" customFormat="1" x14ac:dyDescent="0.35">
      <c r="A256" s="520"/>
      <c r="B256" s="564" t="s">
        <v>167</v>
      </c>
      <c r="C256" s="588"/>
      <c r="D256" s="588"/>
      <c r="E256" s="588"/>
      <c r="F256" s="521"/>
      <c r="G256" s="587"/>
      <c r="H256" s="588"/>
      <c r="I256" s="588"/>
      <c r="J256" s="588"/>
      <c r="K256" s="588"/>
      <c r="L256" s="588"/>
      <c r="M256" s="588"/>
      <c r="N256" s="588"/>
      <c r="O256" s="588"/>
      <c r="P256" s="564">
        <v>2</v>
      </c>
      <c r="Q256" s="587">
        <f t="shared" si="5"/>
        <v>8.7565674255691769E-4</v>
      </c>
      <c r="R256" s="565">
        <v>180</v>
      </c>
      <c r="S256" s="587">
        <f t="shared" si="6"/>
        <v>5.9935070340464498E-4</v>
      </c>
      <c r="T256" s="581"/>
      <c r="U256" s="584"/>
      <c r="V256" s="506"/>
    </row>
    <row r="257" spans="1:23" s="507" customFormat="1" x14ac:dyDescent="0.35">
      <c r="A257" s="520"/>
      <c r="B257" s="564" t="s">
        <v>168</v>
      </c>
      <c r="C257" s="588"/>
      <c r="D257" s="588"/>
      <c r="E257" s="588"/>
      <c r="F257" s="521"/>
      <c r="G257" s="587"/>
      <c r="H257" s="588"/>
      <c r="I257" s="588"/>
      <c r="J257" s="588"/>
      <c r="K257" s="588"/>
      <c r="L257" s="588"/>
      <c r="M257" s="588"/>
      <c r="N257" s="588"/>
      <c r="O257" s="588"/>
      <c r="P257" s="564">
        <v>0</v>
      </c>
      <c r="Q257" s="587">
        <f t="shared" si="5"/>
        <v>0</v>
      </c>
      <c r="R257" s="565">
        <v>0</v>
      </c>
      <c r="S257" s="587">
        <f t="shared" si="6"/>
        <v>0</v>
      </c>
      <c r="T257" s="581"/>
      <c r="U257" s="584"/>
      <c r="V257" s="506"/>
      <c r="W257" s="570"/>
    </row>
    <row r="258" spans="1:23" s="507" customFormat="1" x14ac:dyDescent="0.35">
      <c r="A258" s="520"/>
      <c r="B258" s="564"/>
      <c r="C258" s="588"/>
      <c r="D258" s="588"/>
      <c r="E258" s="588"/>
      <c r="F258" s="521"/>
      <c r="G258" s="587"/>
      <c r="H258" s="588"/>
      <c r="I258" s="588"/>
      <c r="J258" s="588"/>
      <c r="K258" s="588"/>
      <c r="L258" s="588"/>
      <c r="M258" s="588"/>
      <c r="N258" s="588"/>
      <c r="O258" s="588"/>
      <c r="P258" s="564"/>
      <c r="Q258" s="587"/>
      <c r="R258" s="565"/>
      <c r="S258" s="587"/>
      <c r="T258" s="581"/>
      <c r="U258" s="584"/>
      <c r="V258" s="506"/>
    </row>
    <row r="259" spans="1:23" s="507" customFormat="1" x14ac:dyDescent="0.35">
      <c r="A259" s="520"/>
      <c r="B259" s="521" t="s">
        <v>121</v>
      </c>
      <c r="C259" s="521"/>
      <c r="D259" s="521"/>
      <c r="E259" s="521"/>
      <c r="F259" s="521"/>
      <c r="G259" s="521"/>
      <c r="H259" s="590"/>
      <c r="I259" s="590"/>
      <c r="J259" s="590"/>
      <c r="K259" s="590"/>
      <c r="L259" s="590"/>
      <c r="M259" s="590"/>
      <c r="N259" s="590"/>
      <c r="O259" s="590"/>
      <c r="P259" s="564">
        <f>SUM(P250:P258)</f>
        <v>2284</v>
      </c>
      <c r="Q259" s="587">
        <f>SUM(Q250:Q258)</f>
        <v>1</v>
      </c>
      <c r="R259" s="565">
        <f>SUM(R250:R258)</f>
        <v>300325</v>
      </c>
      <c r="S259" s="587">
        <f>SUM(S250:S258)</f>
        <v>1</v>
      </c>
      <c r="T259" s="521"/>
      <c r="U259" s="523"/>
      <c r="V259" s="506"/>
    </row>
    <row r="260" spans="1:23" x14ac:dyDescent="0.35">
      <c r="A260" s="407"/>
      <c r="B260" s="423"/>
      <c r="C260" s="423"/>
      <c r="D260" s="423"/>
      <c r="E260" s="423"/>
      <c r="F260" s="423"/>
      <c r="G260" s="423"/>
      <c r="H260" s="468"/>
      <c r="I260" s="468"/>
      <c r="J260" s="468"/>
      <c r="K260" s="468"/>
      <c r="L260" s="468"/>
      <c r="M260" s="468"/>
      <c r="N260" s="468"/>
      <c r="O260" s="468"/>
      <c r="P260" s="435"/>
      <c r="Q260" s="469"/>
      <c r="R260" s="470"/>
      <c r="S260" s="469"/>
      <c r="T260" s="423"/>
      <c r="U260" s="423"/>
      <c r="V260" s="405"/>
    </row>
    <row r="261" spans="1:23" x14ac:dyDescent="0.35">
      <c r="A261" s="599"/>
      <c r="B261" s="610" t="s">
        <v>275</v>
      </c>
      <c r="C261" s="611"/>
      <c r="D261" s="611"/>
      <c r="E261" s="611"/>
      <c r="F261" s="627"/>
      <c r="G261" s="611"/>
      <c r="H261" s="611"/>
      <c r="I261" s="611"/>
      <c r="J261" s="611"/>
      <c r="K261" s="611"/>
      <c r="L261" s="611"/>
      <c r="M261" s="611"/>
      <c r="N261" s="611"/>
      <c r="O261" s="611"/>
      <c r="P261" s="627" t="s">
        <v>106</v>
      </c>
      <c r="Q261" s="611" t="s">
        <v>107</v>
      </c>
      <c r="R261" s="627" t="s">
        <v>115</v>
      </c>
      <c r="S261" s="611" t="s">
        <v>107</v>
      </c>
      <c r="T261" s="628"/>
      <c r="U261" s="614"/>
      <c r="V261" s="405"/>
    </row>
    <row r="262" spans="1:23" s="507" customFormat="1" x14ac:dyDescent="0.35">
      <c r="A262" s="508"/>
      <c r="B262" s="571" t="s">
        <v>92</v>
      </c>
      <c r="C262" s="629"/>
      <c r="D262" s="629"/>
      <c r="E262" s="629"/>
      <c r="F262" s="554"/>
      <c r="G262" s="629"/>
      <c r="H262" s="629"/>
      <c r="I262" s="629"/>
      <c r="J262" s="629"/>
      <c r="K262" s="629"/>
      <c r="L262" s="629"/>
      <c r="M262" s="629"/>
      <c r="N262" s="629"/>
      <c r="O262" s="629"/>
      <c r="P262" s="571">
        <v>48</v>
      </c>
      <c r="Q262" s="632">
        <f t="shared" ref="Q262:Q269" si="7">P262/$P$271</f>
        <v>0.96</v>
      </c>
      <c r="R262" s="594">
        <v>7019</v>
      </c>
      <c r="S262" s="632">
        <f t="shared" ref="S262:S269" si="8">R262/$R$271</f>
        <v>0.96547455295735896</v>
      </c>
      <c r="T262" s="554"/>
      <c r="U262" s="554"/>
      <c r="V262" s="506"/>
    </row>
    <row r="263" spans="1:23" s="507" customFormat="1" x14ac:dyDescent="0.35">
      <c r="A263" s="520"/>
      <c r="B263" s="564" t="s">
        <v>93</v>
      </c>
      <c r="C263" s="588"/>
      <c r="D263" s="588"/>
      <c r="E263" s="588"/>
      <c r="F263" s="521"/>
      <c r="G263" s="587"/>
      <c r="H263" s="588"/>
      <c r="I263" s="588"/>
      <c r="J263" s="588"/>
      <c r="K263" s="588"/>
      <c r="L263" s="588"/>
      <c r="M263" s="588"/>
      <c r="N263" s="588"/>
      <c r="O263" s="588"/>
      <c r="P263" s="564">
        <v>1</v>
      </c>
      <c r="Q263" s="587">
        <f t="shared" si="7"/>
        <v>0.02</v>
      </c>
      <c r="R263" s="565">
        <v>96</v>
      </c>
      <c r="S263" s="587">
        <f t="shared" si="8"/>
        <v>1.3204951856946355E-2</v>
      </c>
      <c r="T263" s="521"/>
      <c r="U263" s="523"/>
      <c r="V263" s="506"/>
    </row>
    <row r="264" spans="1:23" s="507" customFormat="1" x14ac:dyDescent="0.35">
      <c r="A264" s="520"/>
      <c r="B264" s="564" t="s">
        <v>94</v>
      </c>
      <c r="C264" s="588"/>
      <c r="D264" s="588"/>
      <c r="E264" s="588"/>
      <c r="F264" s="521"/>
      <c r="G264" s="587"/>
      <c r="H264" s="588"/>
      <c r="I264" s="588"/>
      <c r="J264" s="588"/>
      <c r="K264" s="588"/>
      <c r="L264" s="588"/>
      <c r="M264" s="588"/>
      <c r="N264" s="588"/>
      <c r="O264" s="588"/>
      <c r="P264" s="564">
        <v>0</v>
      </c>
      <c r="Q264" s="587">
        <f t="shared" si="7"/>
        <v>0</v>
      </c>
      <c r="R264" s="565">
        <v>0</v>
      </c>
      <c r="S264" s="587">
        <f t="shared" si="8"/>
        <v>0</v>
      </c>
      <c r="T264" s="521"/>
      <c r="U264" s="523"/>
      <c r="V264" s="506"/>
    </row>
    <row r="265" spans="1:23" s="507" customFormat="1" x14ac:dyDescent="0.35">
      <c r="A265" s="520"/>
      <c r="B265" s="564" t="s">
        <v>164</v>
      </c>
      <c r="C265" s="588"/>
      <c r="D265" s="588"/>
      <c r="E265" s="588"/>
      <c r="F265" s="521"/>
      <c r="G265" s="587"/>
      <c r="H265" s="588"/>
      <c r="I265" s="588"/>
      <c r="J265" s="588"/>
      <c r="K265" s="588"/>
      <c r="L265" s="588"/>
      <c r="M265" s="588"/>
      <c r="N265" s="588"/>
      <c r="O265" s="588"/>
      <c r="P265" s="564">
        <v>1</v>
      </c>
      <c r="Q265" s="587">
        <f t="shared" si="7"/>
        <v>0.02</v>
      </c>
      <c r="R265" s="565">
        <v>155</v>
      </c>
      <c r="S265" s="587">
        <f t="shared" si="8"/>
        <v>2.1320495185694635E-2</v>
      </c>
      <c r="T265" s="521"/>
      <c r="U265" s="523"/>
      <c r="V265" s="506"/>
    </row>
    <row r="266" spans="1:23" s="507" customFormat="1" x14ac:dyDescent="0.35">
      <c r="A266" s="520"/>
      <c r="B266" s="564" t="s">
        <v>165</v>
      </c>
      <c r="C266" s="588"/>
      <c r="D266" s="588"/>
      <c r="E266" s="588"/>
      <c r="F266" s="521"/>
      <c r="G266" s="587"/>
      <c r="H266" s="588"/>
      <c r="I266" s="588"/>
      <c r="J266" s="588"/>
      <c r="K266" s="588"/>
      <c r="L266" s="588"/>
      <c r="M266" s="588"/>
      <c r="N266" s="588"/>
      <c r="O266" s="588"/>
      <c r="P266" s="564">
        <v>0</v>
      </c>
      <c r="Q266" s="587">
        <f t="shared" si="7"/>
        <v>0</v>
      </c>
      <c r="R266" s="565">
        <v>0</v>
      </c>
      <c r="S266" s="587">
        <f t="shared" si="8"/>
        <v>0</v>
      </c>
      <c r="T266" s="521"/>
      <c r="U266" s="523"/>
      <c r="V266" s="506"/>
    </row>
    <row r="267" spans="1:23" s="507" customFormat="1" x14ac:dyDescent="0.35">
      <c r="A267" s="520"/>
      <c r="B267" s="564" t="s">
        <v>166</v>
      </c>
      <c r="C267" s="588"/>
      <c r="D267" s="588"/>
      <c r="E267" s="588"/>
      <c r="F267" s="521"/>
      <c r="G267" s="587"/>
      <c r="H267" s="588"/>
      <c r="I267" s="588"/>
      <c r="J267" s="588"/>
      <c r="K267" s="588"/>
      <c r="L267" s="588"/>
      <c r="M267" s="588"/>
      <c r="N267" s="588"/>
      <c r="O267" s="588"/>
      <c r="P267" s="564">
        <v>0</v>
      </c>
      <c r="Q267" s="587">
        <f t="shared" si="7"/>
        <v>0</v>
      </c>
      <c r="R267" s="565">
        <v>0</v>
      </c>
      <c r="S267" s="587">
        <f t="shared" si="8"/>
        <v>0</v>
      </c>
      <c r="T267" s="521"/>
      <c r="U267" s="523"/>
      <c r="V267" s="506"/>
    </row>
    <row r="268" spans="1:23" s="507" customFormat="1" x14ac:dyDescent="0.35">
      <c r="A268" s="520"/>
      <c r="B268" s="564" t="s">
        <v>167</v>
      </c>
      <c r="C268" s="588"/>
      <c r="D268" s="588"/>
      <c r="E268" s="588"/>
      <c r="F268" s="521"/>
      <c r="G268" s="587"/>
      <c r="H268" s="588"/>
      <c r="I268" s="588"/>
      <c r="J268" s="588"/>
      <c r="K268" s="588"/>
      <c r="L268" s="588"/>
      <c r="M268" s="588"/>
      <c r="N268" s="588"/>
      <c r="O268" s="588"/>
      <c r="P268" s="564">
        <v>0</v>
      </c>
      <c r="Q268" s="587">
        <f t="shared" si="7"/>
        <v>0</v>
      </c>
      <c r="R268" s="565">
        <v>0</v>
      </c>
      <c r="S268" s="587">
        <f t="shared" si="8"/>
        <v>0</v>
      </c>
      <c r="T268" s="521"/>
      <c r="U268" s="523"/>
      <c r="V268" s="506"/>
    </row>
    <row r="269" spans="1:23" s="507" customFormat="1" x14ac:dyDescent="0.35">
      <c r="A269" s="520"/>
      <c r="B269" s="564" t="s">
        <v>168</v>
      </c>
      <c r="C269" s="588"/>
      <c r="D269" s="588"/>
      <c r="E269" s="588"/>
      <c r="F269" s="521"/>
      <c r="G269" s="587"/>
      <c r="H269" s="588"/>
      <c r="I269" s="588"/>
      <c r="J269" s="588"/>
      <c r="K269" s="588"/>
      <c r="L269" s="588"/>
      <c r="M269" s="588"/>
      <c r="N269" s="588"/>
      <c r="O269" s="588"/>
      <c r="P269" s="564">
        <v>0</v>
      </c>
      <c r="Q269" s="587">
        <f t="shared" si="7"/>
        <v>0</v>
      </c>
      <c r="R269" s="565">
        <v>0</v>
      </c>
      <c r="S269" s="587">
        <f t="shared" si="8"/>
        <v>0</v>
      </c>
      <c r="T269" s="521"/>
      <c r="U269" s="523"/>
      <c r="V269" s="506"/>
    </row>
    <row r="270" spans="1:23" s="507" customFormat="1" x14ac:dyDescent="0.35">
      <c r="A270" s="520"/>
      <c r="B270" s="564"/>
      <c r="C270" s="588"/>
      <c r="D270" s="588"/>
      <c r="E270" s="588"/>
      <c r="F270" s="521"/>
      <c r="G270" s="587"/>
      <c r="H270" s="588"/>
      <c r="I270" s="588"/>
      <c r="J270" s="588"/>
      <c r="K270" s="588"/>
      <c r="L270" s="588"/>
      <c r="M270" s="588"/>
      <c r="N270" s="588"/>
      <c r="O270" s="588"/>
      <c r="P270" s="564"/>
      <c r="Q270" s="587"/>
      <c r="R270" s="565"/>
      <c r="S270" s="587"/>
      <c r="T270" s="521"/>
      <c r="U270" s="523"/>
      <c r="V270" s="506"/>
    </row>
    <row r="271" spans="1:23" s="507" customFormat="1" x14ac:dyDescent="0.35">
      <c r="A271" s="520"/>
      <c r="B271" s="521" t="s">
        <v>121</v>
      </c>
      <c r="C271" s="521"/>
      <c r="D271" s="521"/>
      <c r="E271" s="521"/>
      <c r="F271" s="521"/>
      <c r="G271" s="521"/>
      <c r="H271" s="590"/>
      <c r="I271" s="590"/>
      <c r="J271" s="590"/>
      <c r="K271" s="590"/>
      <c r="L271" s="590"/>
      <c r="M271" s="590"/>
      <c r="N271" s="590"/>
      <c r="O271" s="590"/>
      <c r="P271" s="564">
        <f>SUM(P262:P270)</f>
        <v>50</v>
      </c>
      <c r="Q271" s="587">
        <f>SUM(Q262:Q270)</f>
        <v>1</v>
      </c>
      <c r="R271" s="565">
        <f>SUM(R262:R270)</f>
        <v>7270</v>
      </c>
      <c r="S271" s="587">
        <f>SUM(S262:S270)</f>
        <v>1</v>
      </c>
      <c r="T271" s="521"/>
      <c r="U271" s="523"/>
      <c r="V271" s="506"/>
    </row>
    <row r="272" spans="1:23" s="507" customFormat="1" x14ac:dyDescent="0.35">
      <c r="A272" s="508"/>
      <c r="B272" s="554"/>
      <c r="C272" s="554"/>
      <c r="D272" s="554"/>
      <c r="E272" s="554"/>
      <c r="F272" s="554"/>
      <c r="G272" s="554"/>
      <c r="H272" s="593"/>
      <c r="I272" s="593"/>
      <c r="J272" s="593"/>
      <c r="K272" s="593"/>
      <c r="L272" s="593"/>
      <c r="M272" s="593"/>
      <c r="N272" s="593"/>
      <c r="O272" s="593"/>
      <c r="P272" s="571"/>
      <c r="Q272" s="632"/>
      <c r="R272" s="594"/>
      <c r="S272" s="632"/>
      <c r="T272" s="554"/>
      <c r="U272" s="554"/>
      <c r="V272" s="506"/>
    </row>
    <row r="273" spans="1:22" s="507" customFormat="1" x14ac:dyDescent="0.35">
      <c r="A273" s="637"/>
      <c r="B273" s="635" t="s">
        <v>384</v>
      </c>
      <c r="C273" s="638"/>
      <c r="D273" s="638"/>
      <c r="E273" s="638"/>
      <c r="F273" s="639"/>
      <c r="G273" s="638"/>
      <c r="H273" s="638"/>
      <c r="I273" s="638"/>
      <c r="J273" s="638"/>
      <c r="K273" s="638"/>
      <c r="L273" s="638"/>
      <c r="M273" s="638"/>
      <c r="N273" s="638"/>
      <c r="O273" s="638"/>
      <c r="P273" s="639" t="s">
        <v>106</v>
      </c>
      <c r="Q273" s="638" t="s">
        <v>107</v>
      </c>
      <c r="R273" s="639" t="s">
        <v>115</v>
      </c>
      <c r="S273" s="638" t="s">
        <v>107</v>
      </c>
      <c r="T273" s="638"/>
      <c r="U273" s="638"/>
      <c r="V273" s="506"/>
    </row>
    <row r="274" spans="1:22" s="507" customFormat="1" x14ac:dyDescent="0.35">
      <c r="A274" s="640"/>
      <c r="B274" s="641" t="s">
        <v>385</v>
      </c>
      <c r="C274" s="641"/>
      <c r="D274" s="641"/>
      <c r="E274" s="641"/>
      <c r="F274" s="641"/>
      <c r="G274" s="641"/>
      <c r="H274" s="642"/>
      <c r="I274" s="642"/>
      <c r="J274" s="642"/>
      <c r="K274" s="642"/>
      <c r="L274" s="642"/>
      <c r="M274" s="642"/>
      <c r="N274" s="642"/>
      <c r="O274" s="642"/>
      <c r="P274" s="644">
        <v>45</v>
      </c>
      <c r="Q274" s="645">
        <f>P274/P281</f>
        <v>0.9</v>
      </c>
      <c r="R274" s="646">
        <v>6485</v>
      </c>
      <c r="S274" s="645">
        <f>R274/R281</f>
        <v>0.89202200825309486</v>
      </c>
      <c r="T274" s="642"/>
      <c r="U274" s="642"/>
      <c r="V274" s="506"/>
    </row>
    <row r="275" spans="1:22" s="507" customFormat="1" x14ac:dyDescent="0.35">
      <c r="A275" s="640"/>
      <c r="B275" s="641" t="s">
        <v>386</v>
      </c>
      <c r="C275" s="641"/>
      <c r="D275" s="641"/>
      <c r="E275" s="641"/>
      <c r="F275" s="641"/>
      <c r="G275" s="641"/>
      <c r="H275" s="642"/>
      <c r="I275" s="642"/>
      <c r="J275" s="642"/>
      <c r="K275" s="642"/>
      <c r="L275" s="642"/>
      <c r="M275" s="642"/>
      <c r="N275" s="642"/>
      <c r="O275" s="642"/>
      <c r="P275" s="644">
        <v>2</v>
      </c>
      <c r="Q275" s="645">
        <f>P275/P281</f>
        <v>0.04</v>
      </c>
      <c r="R275" s="646">
        <v>213</v>
      </c>
      <c r="S275" s="645">
        <f>R275/R281</f>
        <v>2.9298486932599725E-2</v>
      </c>
      <c r="T275" s="642"/>
      <c r="U275" s="642"/>
      <c r="V275" s="506"/>
    </row>
    <row r="276" spans="1:22" s="507" customFormat="1" x14ac:dyDescent="0.35">
      <c r="A276" s="640"/>
      <c r="B276" s="641" t="s">
        <v>387</v>
      </c>
      <c r="C276" s="641"/>
      <c r="D276" s="641"/>
      <c r="E276" s="641"/>
      <c r="F276" s="641"/>
      <c r="G276" s="641"/>
      <c r="H276" s="642"/>
      <c r="I276" s="642"/>
      <c r="J276" s="642"/>
      <c r="K276" s="642"/>
      <c r="L276" s="642"/>
      <c r="M276" s="642"/>
      <c r="N276" s="642"/>
      <c r="O276" s="642"/>
      <c r="P276" s="644">
        <v>2</v>
      </c>
      <c r="Q276" s="645">
        <f>P276/P281</f>
        <v>0.04</v>
      </c>
      <c r="R276" s="646">
        <v>304</v>
      </c>
      <c r="S276" s="645">
        <f>R276/R281</f>
        <v>4.1815680880330122E-2</v>
      </c>
      <c r="T276" s="642"/>
      <c r="U276" s="642"/>
      <c r="V276" s="506"/>
    </row>
    <row r="277" spans="1:22" s="507" customFormat="1" x14ac:dyDescent="0.35">
      <c r="A277" s="640"/>
      <c r="B277" s="641" t="s">
        <v>388</v>
      </c>
      <c r="C277" s="641"/>
      <c r="D277" s="641"/>
      <c r="E277" s="641"/>
      <c r="F277" s="641"/>
      <c r="G277" s="641"/>
      <c r="H277" s="642"/>
      <c r="I277" s="642"/>
      <c r="J277" s="642"/>
      <c r="K277" s="642"/>
      <c r="L277" s="642"/>
      <c r="M277" s="642"/>
      <c r="N277" s="642"/>
      <c r="O277" s="642"/>
      <c r="P277" s="644">
        <v>1</v>
      </c>
      <c r="Q277" s="645">
        <f>P277/P281</f>
        <v>0.02</v>
      </c>
      <c r="R277" s="646">
        <v>268</v>
      </c>
      <c r="S277" s="645">
        <f>R277/R281</f>
        <v>3.6863823933975241E-2</v>
      </c>
      <c r="T277" s="642"/>
      <c r="U277" s="642"/>
      <c r="V277" s="506"/>
    </row>
    <row r="278" spans="1:22" s="507" customFormat="1" x14ac:dyDescent="0.35">
      <c r="A278" s="640"/>
      <c r="B278" s="641" t="s">
        <v>403</v>
      </c>
      <c r="C278" s="641"/>
      <c r="D278" s="641"/>
      <c r="E278" s="641"/>
      <c r="F278" s="641"/>
      <c r="G278" s="641"/>
      <c r="H278" s="642"/>
      <c r="I278" s="642"/>
      <c r="J278" s="642"/>
      <c r="K278" s="642"/>
      <c r="L278" s="642"/>
      <c r="M278" s="642"/>
      <c r="N278" s="642"/>
      <c r="O278" s="642"/>
      <c r="P278" s="644">
        <v>0</v>
      </c>
      <c r="Q278" s="645">
        <f>P278/P281</f>
        <v>0</v>
      </c>
      <c r="R278" s="646">
        <v>0</v>
      </c>
      <c r="S278" s="645">
        <f>R278/R281</f>
        <v>0</v>
      </c>
      <c r="T278" s="642"/>
      <c r="U278" s="642"/>
      <c r="V278" s="506"/>
    </row>
    <row r="279" spans="1:22" s="507" customFormat="1" x14ac:dyDescent="0.35">
      <c r="A279" s="640"/>
      <c r="B279" s="643" t="s">
        <v>389</v>
      </c>
      <c r="C279" s="641"/>
      <c r="D279" s="641"/>
      <c r="E279" s="641"/>
      <c r="F279" s="641"/>
      <c r="G279" s="641"/>
      <c r="H279" s="642"/>
      <c r="I279" s="642"/>
      <c r="J279" s="642"/>
      <c r="K279" s="642"/>
      <c r="L279" s="642"/>
      <c r="M279" s="642"/>
      <c r="N279" s="642"/>
      <c r="O279" s="642"/>
      <c r="P279" s="644">
        <v>0</v>
      </c>
      <c r="Q279" s="645">
        <f>P279/P281</f>
        <v>0</v>
      </c>
      <c r="R279" s="646">
        <v>0</v>
      </c>
      <c r="S279" s="645">
        <f>R279/R281</f>
        <v>0</v>
      </c>
      <c r="T279" s="642"/>
      <c r="U279" s="642"/>
      <c r="V279" s="506"/>
    </row>
    <row r="280" spans="1:22" s="507" customFormat="1" x14ac:dyDescent="0.35">
      <c r="A280" s="640"/>
      <c r="B280" s="641"/>
      <c r="C280" s="641"/>
      <c r="D280" s="641"/>
      <c r="E280" s="641"/>
      <c r="F280" s="641"/>
      <c r="G280" s="641"/>
      <c r="H280" s="642"/>
      <c r="I280" s="642"/>
      <c r="J280" s="642"/>
      <c r="K280" s="642"/>
      <c r="L280" s="642"/>
      <c r="M280" s="642"/>
      <c r="N280" s="642"/>
      <c r="O280" s="642"/>
      <c r="P280" s="644"/>
      <c r="Q280" s="645"/>
      <c r="R280" s="646"/>
      <c r="S280" s="645"/>
      <c r="T280" s="642"/>
      <c r="U280" s="642"/>
      <c r="V280" s="506"/>
    </row>
    <row r="281" spans="1:22" s="507" customFormat="1" x14ac:dyDescent="0.35">
      <c r="A281" s="640"/>
      <c r="B281" s="641" t="s">
        <v>121</v>
      </c>
      <c r="C281" s="641"/>
      <c r="D281" s="641"/>
      <c r="E281" s="641"/>
      <c r="F281" s="641"/>
      <c r="G281" s="641"/>
      <c r="H281" s="642"/>
      <c r="I281" s="642"/>
      <c r="J281" s="642"/>
      <c r="K281" s="642"/>
      <c r="L281" s="642"/>
      <c r="M281" s="642"/>
      <c r="N281" s="642"/>
      <c r="O281" s="642"/>
      <c r="P281" s="644">
        <f>SUM(P274:P280)</f>
        <v>50</v>
      </c>
      <c r="Q281" s="645">
        <f>SUM(Q274:Q279)</f>
        <v>1</v>
      </c>
      <c r="R281" s="646">
        <f>SUM(R274:R279)</f>
        <v>7270</v>
      </c>
      <c r="S281" s="645">
        <f>SUM(S274:S280)</f>
        <v>1</v>
      </c>
      <c r="T281" s="642"/>
      <c r="U281" s="642"/>
      <c r="V281" s="506"/>
    </row>
    <row r="282" spans="1:22" x14ac:dyDescent="0.35">
      <c r="A282" s="407"/>
      <c r="B282" s="423"/>
      <c r="C282" s="423"/>
      <c r="D282" s="423"/>
      <c r="E282" s="423"/>
      <c r="F282" s="423"/>
      <c r="G282" s="423"/>
      <c r="H282" s="468"/>
      <c r="I282" s="468"/>
      <c r="J282" s="468"/>
      <c r="K282" s="468"/>
      <c r="L282" s="468"/>
      <c r="M282" s="468"/>
      <c r="N282" s="468"/>
      <c r="O282" s="468"/>
      <c r="P282" s="435"/>
      <c r="Q282" s="469"/>
      <c r="R282" s="470"/>
      <c r="S282" s="469"/>
      <c r="T282" s="423"/>
      <c r="U282" s="423"/>
      <c r="V282" s="405"/>
    </row>
    <row r="283" spans="1:22" x14ac:dyDescent="0.35">
      <c r="A283" s="599"/>
      <c r="B283" s="610" t="s">
        <v>173</v>
      </c>
      <c r="C283" s="628"/>
      <c r="D283" s="628"/>
      <c r="E283" s="628"/>
      <c r="F283" s="628"/>
      <c r="G283" s="628"/>
      <c r="H283" s="633"/>
      <c r="I283" s="633"/>
      <c r="J283" s="633"/>
      <c r="K283" s="633"/>
      <c r="L283" s="633"/>
      <c r="M283" s="633"/>
      <c r="N283" s="633"/>
      <c r="O283" s="633"/>
      <c r="P283" s="627" t="s">
        <v>106</v>
      </c>
      <c r="Q283" s="611" t="s">
        <v>107</v>
      </c>
      <c r="R283" s="627" t="s">
        <v>115</v>
      </c>
      <c r="S283" s="611" t="s">
        <v>107</v>
      </c>
      <c r="T283" s="628"/>
      <c r="U283" s="614"/>
      <c r="V283" s="405"/>
    </row>
    <row r="284" spans="1:22" s="507" customFormat="1" x14ac:dyDescent="0.35">
      <c r="A284" s="508"/>
      <c r="B284" s="571" t="s">
        <v>92</v>
      </c>
      <c r="C284" s="554"/>
      <c r="D284" s="554"/>
      <c r="E284" s="554"/>
      <c r="F284" s="554"/>
      <c r="G284" s="554"/>
      <c r="H284" s="593"/>
      <c r="I284" s="593"/>
      <c r="J284" s="593"/>
      <c r="K284" s="593"/>
      <c r="L284" s="593"/>
      <c r="M284" s="593"/>
      <c r="N284" s="593"/>
      <c r="O284" s="593"/>
      <c r="P284" s="571">
        <v>0</v>
      </c>
      <c r="Q284" s="632">
        <v>0</v>
      </c>
      <c r="R284" s="594">
        <v>0</v>
      </c>
      <c r="S284" s="632">
        <v>0</v>
      </c>
      <c r="T284" s="554"/>
      <c r="U284" s="554"/>
      <c r="V284" s="506"/>
    </row>
    <row r="285" spans="1:22" s="507" customFormat="1" x14ac:dyDescent="0.35">
      <c r="A285" s="520"/>
      <c r="B285" s="564" t="s">
        <v>93</v>
      </c>
      <c r="C285" s="521"/>
      <c r="D285" s="521"/>
      <c r="E285" s="521"/>
      <c r="F285" s="521"/>
      <c r="G285" s="521"/>
      <c r="H285" s="590"/>
      <c r="I285" s="590"/>
      <c r="J285" s="590"/>
      <c r="K285" s="590"/>
      <c r="L285" s="590"/>
      <c r="M285" s="590"/>
      <c r="N285" s="590"/>
      <c r="O285" s="590"/>
      <c r="P285" s="564">
        <v>0</v>
      </c>
      <c r="Q285" s="587">
        <v>0</v>
      </c>
      <c r="R285" s="565">
        <v>0</v>
      </c>
      <c r="S285" s="587">
        <v>0</v>
      </c>
      <c r="T285" s="521"/>
      <c r="U285" s="523"/>
      <c r="V285" s="506"/>
    </row>
    <row r="286" spans="1:22" s="507" customFormat="1" x14ac:dyDescent="0.35">
      <c r="A286" s="520"/>
      <c r="B286" s="564" t="s">
        <v>94</v>
      </c>
      <c r="C286" s="521"/>
      <c r="D286" s="521"/>
      <c r="E286" s="521"/>
      <c r="F286" s="521"/>
      <c r="G286" s="521"/>
      <c r="H286" s="590"/>
      <c r="I286" s="590"/>
      <c r="J286" s="590"/>
      <c r="K286" s="590"/>
      <c r="L286" s="590"/>
      <c r="M286" s="590"/>
      <c r="N286" s="590"/>
      <c r="O286" s="590"/>
      <c r="P286" s="564">
        <v>0</v>
      </c>
      <c r="Q286" s="587">
        <v>0</v>
      </c>
      <c r="R286" s="565">
        <v>0</v>
      </c>
      <c r="S286" s="587">
        <v>0</v>
      </c>
      <c r="T286" s="521"/>
      <c r="U286" s="523"/>
      <c r="V286" s="506"/>
    </row>
    <row r="287" spans="1:22" s="507" customFormat="1" x14ac:dyDescent="0.35">
      <c r="A287" s="520"/>
      <c r="B287" s="564" t="s">
        <v>164</v>
      </c>
      <c r="C287" s="521"/>
      <c r="D287" s="521"/>
      <c r="E287" s="521"/>
      <c r="F287" s="521"/>
      <c r="G287" s="521"/>
      <c r="H287" s="590"/>
      <c r="I287" s="590"/>
      <c r="J287" s="590"/>
      <c r="K287" s="590"/>
      <c r="L287" s="590"/>
      <c r="M287" s="590"/>
      <c r="N287" s="590"/>
      <c r="O287" s="590"/>
      <c r="P287" s="564">
        <v>0</v>
      </c>
      <c r="Q287" s="587">
        <v>0</v>
      </c>
      <c r="R287" s="565">
        <v>0</v>
      </c>
      <c r="S287" s="587">
        <v>0</v>
      </c>
      <c r="T287" s="521"/>
      <c r="U287" s="523"/>
      <c r="V287" s="506"/>
    </row>
    <row r="288" spans="1:22" s="507" customFormat="1" x14ac:dyDescent="0.35">
      <c r="A288" s="520"/>
      <c r="B288" s="564" t="s">
        <v>165</v>
      </c>
      <c r="C288" s="521"/>
      <c r="D288" s="521"/>
      <c r="E288" s="521"/>
      <c r="F288" s="521"/>
      <c r="G288" s="521"/>
      <c r="H288" s="590"/>
      <c r="I288" s="590"/>
      <c r="J288" s="590"/>
      <c r="K288" s="590"/>
      <c r="L288" s="590"/>
      <c r="M288" s="590"/>
      <c r="N288" s="590"/>
      <c r="O288" s="590"/>
      <c r="P288" s="564">
        <v>0</v>
      </c>
      <c r="Q288" s="587">
        <v>0</v>
      </c>
      <c r="R288" s="565">
        <v>0</v>
      </c>
      <c r="S288" s="587">
        <v>0</v>
      </c>
      <c r="T288" s="521"/>
      <c r="U288" s="523"/>
      <c r="V288" s="506"/>
    </row>
    <row r="289" spans="1:22" s="507" customFormat="1" x14ac:dyDescent="0.35">
      <c r="A289" s="520"/>
      <c r="B289" s="564" t="s">
        <v>166</v>
      </c>
      <c r="C289" s="521"/>
      <c r="D289" s="521"/>
      <c r="E289" s="521"/>
      <c r="F289" s="521"/>
      <c r="G289" s="521"/>
      <c r="H289" s="590"/>
      <c r="I289" s="590"/>
      <c r="J289" s="590"/>
      <c r="K289" s="590"/>
      <c r="L289" s="590"/>
      <c r="M289" s="590"/>
      <c r="N289" s="590"/>
      <c r="O289" s="590"/>
      <c r="P289" s="564">
        <v>0</v>
      </c>
      <c r="Q289" s="587">
        <v>0</v>
      </c>
      <c r="R289" s="565">
        <v>0</v>
      </c>
      <c r="S289" s="587">
        <v>0</v>
      </c>
      <c r="T289" s="521"/>
      <c r="U289" s="523"/>
      <c r="V289" s="506"/>
    </row>
    <row r="290" spans="1:22" s="507" customFormat="1" x14ac:dyDescent="0.35">
      <c r="A290" s="520"/>
      <c r="B290" s="564" t="s">
        <v>167</v>
      </c>
      <c r="C290" s="521"/>
      <c r="D290" s="521"/>
      <c r="E290" s="521"/>
      <c r="F290" s="521"/>
      <c r="G290" s="521"/>
      <c r="H290" s="590"/>
      <c r="I290" s="590"/>
      <c r="J290" s="590"/>
      <c r="K290" s="590"/>
      <c r="L290" s="590"/>
      <c r="M290" s="590"/>
      <c r="N290" s="590"/>
      <c r="O290" s="590"/>
      <c r="P290" s="564">
        <v>0</v>
      </c>
      <c r="Q290" s="587">
        <v>0</v>
      </c>
      <c r="R290" s="565">
        <v>0</v>
      </c>
      <c r="S290" s="587">
        <v>0</v>
      </c>
      <c r="T290" s="521"/>
      <c r="U290" s="523"/>
      <c r="V290" s="506"/>
    </row>
    <row r="291" spans="1:22" s="507" customFormat="1" x14ac:dyDescent="0.35">
      <c r="A291" s="520"/>
      <c r="B291" s="564" t="s">
        <v>168</v>
      </c>
      <c r="C291" s="521"/>
      <c r="D291" s="521"/>
      <c r="E291" s="521"/>
      <c r="F291" s="521"/>
      <c r="G291" s="521"/>
      <c r="H291" s="590"/>
      <c r="I291" s="590"/>
      <c r="J291" s="590"/>
      <c r="K291" s="590"/>
      <c r="L291" s="590"/>
      <c r="M291" s="590"/>
      <c r="N291" s="590"/>
      <c r="O291" s="590"/>
      <c r="P291" s="564">
        <v>0</v>
      </c>
      <c r="Q291" s="587">
        <v>0</v>
      </c>
      <c r="R291" s="565">
        <v>0</v>
      </c>
      <c r="S291" s="587">
        <v>0</v>
      </c>
      <c r="T291" s="521"/>
      <c r="U291" s="523"/>
      <c r="V291" s="506"/>
    </row>
    <row r="292" spans="1:22" s="507" customFormat="1" x14ac:dyDescent="0.35">
      <c r="A292" s="520"/>
      <c r="B292" s="564"/>
      <c r="C292" s="521"/>
      <c r="D292" s="521"/>
      <c r="E292" s="521"/>
      <c r="F292" s="521"/>
      <c r="G292" s="521"/>
      <c r="H292" s="590"/>
      <c r="I292" s="590"/>
      <c r="J292" s="590"/>
      <c r="K292" s="590"/>
      <c r="L292" s="590"/>
      <c r="M292" s="590"/>
      <c r="N292" s="590"/>
      <c r="O292" s="590"/>
      <c r="P292" s="564"/>
      <c r="Q292" s="587"/>
      <c r="R292" s="565"/>
      <c r="S292" s="587"/>
      <c r="T292" s="521"/>
      <c r="U292" s="523"/>
      <c r="V292" s="506"/>
    </row>
    <row r="293" spans="1:22" s="507" customFormat="1" x14ac:dyDescent="0.35">
      <c r="A293" s="520"/>
      <c r="B293" s="521" t="s">
        <v>121</v>
      </c>
      <c r="C293" s="521"/>
      <c r="D293" s="521"/>
      <c r="E293" s="521"/>
      <c r="F293" s="521"/>
      <c r="G293" s="521"/>
      <c r="H293" s="590"/>
      <c r="I293" s="590"/>
      <c r="J293" s="590"/>
      <c r="K293" s="590"/>
      <c r="L293" s="590"/>
      <c r="M293" s="590"/>
      <c r="N293" s="590"/>
      <c r="O293" s="590"/>
      <c r="P293" s="564">
        <f>SUM(P284:P291)</f>
        <v>0</v>
      </c>
      <c r="Q293" s="587">
        <f>SUM(Q284:Q291)</f>
        <v>0</v>
      </c>
      <c r="R293" s="565">
        <f>SUM(R284:R291)</f>
        <v>0</v>
      </c>
      <c r="S293" s="587">
        <f>SUM(S284:S291)</f>
        <v>0</v>
      </c>
      <c r="T293" s="521"/>
      <c r="U293" s="523"/>
      <c r="V293" s="506"/>
    </row>
    <row r="294" spans="1:22" s="507" customFormat="1" x14ac:dyDescent="0.35">
      <c r="A294" s="520"/>
      <c r="B294" s="521"/>
      <c r="C294" s="521"/>
      <c r="D294" s="521"/>
      <c r="E294" s="521"/>
      <c r="F294" s="521"/>
      <c r="G294" s="521"/>
      <c r="H294" s="590"/>
      <c r="I294" s="590"/>
      <c r="J294" s="590"/>
      <c r="K294" s="590"/>
      <c r="L294" s="590"/>
      <c r="M294" s="590"/>
      <c r="N294" s="590"/>
      <c r="O294" s="590"/>
      <c r="P294" s="564"/>
      <c r="Q294" s="587"/>
      <c r="R294" s="565"/>
      <c r="S294" s="587"/>
      <c r="T294" s="521"/>
      <c r="U294" s="523"/>
      <c r="V294" s="506"/>
    </row>
    <row r="295" spans="1:22" s="507" customFormat="1" x14ac:dyDescent="0.35">
      <c r="A295" s="520"/>
      <c r="B295" s="526" t="s">
        <v>174</v>
      </c>
      <c r="C295" s="521"/>
      <c r="D295" s="521"/>
      <c r="E295" s="521"/>
      <c r="F295" s="521"/>
      <c r="G295" s="521"/>
      <c r="H295" s="590"/>
      <c r="I295" s="590"/>
      <c r="J295" s="590"/>
      <c r="K295" s="590"/>
      <c r="L295" s="590"/>
      <c r="M295" s="590"/>
      <c r="N295" s="590"/>
      <c r="O295" s="590"/>
      <c r="P295" s="591">
        <f>P293+P271+P259</f>
        <v>2334</v>
      </c>
      <c r="Q295" s="587"/>
      <c r="R295" s="592">
        <f>+R293+R271+R259</f>
        <v>307595</v>
      </c>
      <c r="S295" s="587"/>
      <c r="T295" s="521"/>
      <c r="U295" s="523"/>
      <c r="V295" s="506"/>
    </row>
    <row r="296" spans="1:22" s="507" customFormat="1" x14ac:dyDescent="0.35">
      <c r="A296" s="508"/>
      <c r="B296" s="630"/>
      <c r="C296" s="554"/>
      <c r="D296" s="554"/>
      <c r="E296" s="554"/>
      <c r="F296" s="554"/>
      <c r="G296" s="554"/>
      <c r="H296" s="593"/>
      <c r="I296" s="593"/>
      <c r="J296" s="593"/>
      <c r="K296" s="593"/>
      <c r="L296" s="593"/>
      <c r="M296" s="593"/>
      <c r="N296" s="593"/>
      <c r="O296" s="593"/>
      <c r="P296" s="626"/>
      <c r="Q296" s="632"/>
      <c r="R296" s="634"/>
      <c r="S296" s="632"/>
      <c r="T296" s="554"/>
      <c r="U296" s="554"/>
      <c r="V296" s="506"/>
    </row>
    <row r="297" spans="1:22" s="507" customFormat="1" x14ac:dyDescent="0.35">
      <c r="A297" s="599" t="s">
        <v>383</v>
      </c>
      <c r="B297" s="635" t="s">
        <v>382</v>
      </c>
      <c r="C297" s="628"/>
      <c r="D297" s="628"/>
      <c r="E297" s="628"/>
      <c r="F297" s="628"/>
      <c r="G297" s="628"/>
      <c r="H297" s="633"/>
      <c r="I297" s="633"/>
      <c r="J297" s="633"/>
      <c r="K297" s="633"/>
      <c r="L297" s="633"/>
      <c r="M297" s="633"/>
      <c r="N297" s="633"/>
      <c r="O297" s="633"/>
      <c r="P297" s="627" t="s">
        <v>106</v>
      </c>
      <c r="Q297" s="611" t="s">
        <v>107</v>
      </c>
      <c r="R297" s="627" t="s">
        <v>115</v>
      </c>
      <c r="S297" s="611" t="s">
        <v>107</v>
      </c>
      <c r="T297" s="628"/>
      <c r="U297" s="614"/>
      <c r="V297" s="506"/>
    </row>
    <row r="298" spans="1:22" s="507" customFormat="1" x14ac:dyDescent="0.35">
      <c r="A298" s="508"/>
      <c r="B298" s="571" t="s">
        <v>92</v>
      </c>
      <c r="C298" s="554"/>
      <c r="D298" s="554"/>
      <c r="E298" s="554"/>
      <c r="F298" s="554"/>
      <c r="G298" s="554"/>
      <c r="H298" s="593"/>
      <c r="I298" s="593"/>
      <c r="J298" s="593"/>
      <c r="K298" s="593"/>
      <c r="L298" s="593"/>
      <c r="M298" s="593"/>
      <c r="N298" s="593"/>
      <c r="O298" s="593"/>
      <c r="P298" s="571">
        <v>535</v>
      </c>
      <c r="Q298" s="649">
        <f>+P298/P307</f>
        <v>0.95706618962432921</v>
      </c>
      <c r="R298" s="594">
        <v>76443</v>
      </c>
      <c r="S298" s="632">
        <f>+R298/R307</f>
        <v>0.95201504433595696</v>
      </c>
      <c r="T298" s="554"/>
      <c r="U298" s="554"/>
      <c r="V298" s="506"/>
    </row>
    <row r="299" spans="1:22" s="507" customFormat="1" x14ac:dyDescent="0.35">
      <c r="A299" s="520"/>
      <c r="B299" s="564" t="s">
        <v>93</v>
      </c>
      <c r="C299" s="521"/>
      <c r="D299" s="521"/>
      <c r="E299" s="521"/>
      <c r="F299" s="521"/>
      <c r="G299" s="521"/>
      <c r="H299" s="590"/>
      <c r="I299" s="590"/>
      <c r="J299" s="590"/>
      <c r="K299" s="590"/>
      <c r="L299" s="590"/>
      <c r="M299" s="590"/>
      <c r="N299" s="590"/>
      <c r="O299" s="590"/>
      <c r="P299" s="564">
        <v>24</v>
      </c>
      <c r="Q299" s="587">
        <f>+P299/P307</f>
        <v>4.2933810375670838E-2</v>
      </c>
      <c r="R299" s="565">
        <v>3853</v>
      </c>
      <c r="S299" s="587">
        <f>+R299/R307</f>
        <v>4.7984955664043039E-2</v>
      </c>
      <c r="T299" s="521"/>
      <c r="U299" s="523"/>
      <c r="V299" s="506"/>
    </row>
    <row r="300" spans="1:22" s="507" customFormat="1" x14ac:dyDescent="0.35">
      <c r="A300" s="520"/>
      <c r="B300" s="564" t="s">
        <v>94</v>
      </c>
      <c r="C300" s="521"/>
      <c r="D300" s="521"/>
      <c r="E300" s="521"/>
      <c r="F300" s="521"/>
      <c r="G300" s="521"/>
      <c r="H300" s="590"/>
      <c r="I300" s="590"/>
      <c r="J300" s="590"/>
      <c r="K300" s="590"/>
      <c r="L300" s="590"/>
      <c r="M300" s="590"/>
      <c r="N300" s="590"/>
      <c r="O300" s="590"/>
      <c r="P300" s="564">
        <v>0</v>
      </c>
      <c r="Q300" s="587">
        <f>+P300/P307</f>
        <v>0</v>
      </c>
      <c r="R300" s="565">
        <v>0</v>
      </c>
      <c r="S300" s="587">
        <f>+R300/R307</f>
        <v>0</v>
      </c>
      <c r="T300" s="521"/>
      <c r="U300" s="523"/>
      <c r="V300" s="506"/>
    </row>
    <row r="301" spans="1:22" s="507" customFormat="1" x14ac:dyDescent="0.35">
      <c r="A301" s="520"/>
      <c r="B301" s="564" t="s">
        <v>164</v>
      </c>
      <c r="C301" s="521"/>
      <c r="D301" s="521"/>
      <c r="E301" s="521"/>
      <c r="F301" s="521"/>
      <c r="G301" s="521"/>
      <c r="H301" s="590"/>
      <c r="I301" s="590"/>
      <c r="J301" s="590"/>
      <c r="K301" s="590"/>
      <c r="L301" s="590"/>
      <c r="M301" s="590"/>
      <c r="N301" s="590"/>
      <c r="O301" s="590"/>
      <c r="P301" s="564">
        <v>0</v>
      </c>
      <c r="Q301" s="587">
        <f>+P301/P307</f>
        <v>0</v>
      </c>
      <c r="R301" s="565">
        <v>0</v>
      </c>
      <c r="S301" s="587">
        <f>+R301/R307</f>
        <v>0</v>
      </c>
      <c r="T301" s="521"/>
      <c r="U301" s="523"/>
      <c r="V301" s="506"/>
    </row>
    <row r="302" spans="1:22" s="507" customFormat="1" x14ac:dyDescent="0.35">
      <c r="A302" s="520"/>
      <c r="B302" s="564" t="s">
        <v>165</v>
      </c>
      <c r="C302" s="521"/>
      <c r="D302" s="521"/>
      <c r="E302" s="521"/>
      <c r="F302" s="521"/>
      <c r="G302" s="521"/>
      <c r="H302" s="590"/>
      <c r="I302" s="590"/>
      <c r="J302" s="590"/>
      <c r="K302" s="590"/>
      <c r="L302" s="590"/>
      <c r="M302" s="590"/>
      <c r="N302" s="590"/>
      <c r="O302" s="590"/>
      <c r="P302" s="564">
        <v>0</v>
      </c>
      <c r="Q302" s="587">
        <f>+P302/P307</f>
        <v>0</v>
      </c>
      <c r="R302" s="565">
        <v>0</v>
      </c>
      <c r="S302" s="587">
        <f>+R302/R307</f>
        <v>0</v>
      </c>
      <c r="T302" s="521"/>
      <c r="U302" s="523"/>
      <c r="V302" s="506"/>
    </row>
    <row r="303" spans="1:22" s="507" customFormat="1" x14ac:dyDescent="0.35">
      <c r="A303" s="520"/>
      <c r="B303" s="564" t="s">
        <v>166</v>
      </c>
      <c r="C303" s="521"/>
      <c r="D303" s="521"/>
      <c r="E303" s="521"/>
      <c r="F303" s="521"/>
      <c r="G303" s="521"/>
      <c r="H303" s="590"/>
      <c r="I303" s="590"/>
      <c r="J303" s="590"/>
      <c r="K303" s="590"/>
      <c r="L303" s="590"/>
      <c r="M303" s="590"/>
      <c r="N303" s="590"/>
      <c r="O303" s="590"/>
      <c r="P303" s="564">
        <v>0</v>
      </c>
      <c r="Q303" s="587">
        <f>+P303/P307</f>
        <v>0</v>
      </c>
      <c r="R303" s="565">
        <v>0</v>
      </c>
      <c r="S303" s="587">
        <f>+R303/R307</f>
        <v>0</v>
      </c>
      <c r="T303" s="521"/>
      <c r="U303" s="523"/>
      <c r="V303" s="506"/>
    </row>
    <row r="304" spans="1:22" s="507" customFormat="1" x14ac:dyDescent="0.35">
      <c r="A304" s="520"/>
      <c r="B304" s="564" t="s">
        <v>167</v>
      </c>
      <c r="C304" s="521"/>
      <c r="D304" s="521"/>
      <c r="E304" s="521"/>
      <c r="F304" s="521"/>
      <c r="G304" s="521"/>
      <c r="H304" s="590"/>
      <c r="I304" s="590"/>
      <c r="J304" s="590"/>
      <c r="K304" s="590"/>
      <c r="L304" s="590"/>
      <c r="M304" s="590"/>
      <c r="N304" s="590"/>
      <c r="O304" s="590"/>
      <c r="P304" s="564">
        <v>0</v>
      </c>
      <c r="Q304" s="587">
        <f>+P304/P307</f>
        <v>0</v>
      </c>
      <c r="R304" s="565">
        <v>0</v>
      </c>
      <c r="S304" s="587">
        <f>+R304/R307</f>
        <v>0</v>
      </c>
      <c r="T304" s="521"/>
      <c r="U304" s="523"/>
      <c r="V304" s="506"/>
    </row>
    <row r="305" spans="1:22" s="507" customFormat="1" x14ac:dyDescent="0.35">
      <c r="A305" s="520"/>
      <c r="B305" s="564" t="s">
        <v>168</v>
      </c>
      <c r="C305" s="521"/>
      <c r="D305" s="521"/>
      <c r="E305" s="521"/>
      <c r="F305" s="521"/>
      <c r="G305" s="521"/>
      <c r="H305" s="590"/>
      <c r="I305" s="590"/>
      <c r="J305" s="590"/>
      <c r="K305" s="590"/>
      <c r="L305" s="590"/>
      <c r="M305" s="590"/>
      <c r="N305" s="590"/>
      <c r="O305" s="590"/>
      <c r="P305" s="564">
        <v>0</v>
      </c>
      <c r="Q305" s="587">
        <f>+P305/P307</f>
        <v>0</v>
      </c>
      <c r="R305" s="565">
        <v>0</v>
      </c>
      <c r="S305" s="587">
        <f>+R305/R307</f>
        <v>0</v>
      </c>
      <c r="T305" s="521"/>
      <c r="U305" s="523"/>
      <c r="V305" s="506"/>
    </row>
    <row r="306" spans="1:22" s="507" customFormat="1" x14ac:dyDescent="0.35">
      <c r="A306" s="520"/>
      <c r="B306" s="564"/>
      <c r="C306" s="521"/>
      <c r="D306" s="521"/>
      <c r="E306" s="521"/>
      <c r="F306" s="521"/>
      <c r="G306" s="521"/>
      <c r="H306" s="590"/>
      <c r="I306" s="590"/>
      <c r="J306" s="590"/>
      <c r="K306" s="590"/>
      <c r="L306" s="590"/>
      <c r="M306" s="590"/>
      <c r="N306" s="590"/>
      <c r="O306" s="590"/>
      <c r="P306" s="564"/>
      <c r="Q306" s="587"/>
      <c r="R306" s="565"/>
      <c r="S306" s="587"/>
      <c r="T306" s="521"/>
      <c r="U306" s="523"/>
      <c r="V306" s="506"/>
    </row>
    <row r="307" spans="1:22" s="507" customFormat="1" x14ac:dyDescent="0.35">
      <c r="A307" s="520"/>
      <c r="B307" s="521" t="s">
        <v>121</v>
      </c>
      <c r="C307" s="521"/>
      <c r="D307" s="521"/>
      <c r="E307" s="521"/>
      <c r="F307" s="521"/>
      <c r="G307" s="521"/>
      <c r="H307" s="590"/>
      <c r="I307" s="590"/>
      <c r="J307" s="590"/>
      <c r="K307" s="590"/>
      <c r="L307" s="590"/>
      <c r="M307" s="590"/>
      <c r="N307" s="590"/>
      <c r="O307" s="590"/>
      <c r="P307" s="564">
        <f>SUM(P298:P305)</f>
        <v>559</v>
      </c>
      <c r="Q307" s="587">
        <f>SUM(Q298:Q305)</f>
        <v>1</v>
      </c>
      <c r="R307" s="565">
        <f>SUM(R298:R305)</f>
        <v>80296</v>
      </c>
      <c r="S307" s="587">
        <f>SUM(S298:S305)</f>
        <v>1</v>
      </c>
      <c r="T307" s="521"/>
      <c r="U307" s="523"/>
      <c r="V307" s="506"/>
    </row>
    <row r="308" spans="1:22" s="507" customFormat="1" x14ac:dyDescent="0.35">
      <c r="A308" s="520"/>
      <c r="B308" s="650" t="s">
        <v>402</v>
      </c>
      <c r="C308" s="521"/>
      <c r="D308" s="521"/>
      <c r="E308" s="521"/>
      <c r="F308" s="521"/>
      <c r="G308" s="521"/>
      <c r="H308" s="590"/>
      <c r="I308" s="590"/>
      <c r="J308" s="590"/>
      <c r="K308" s="590"/>
      <c r="L308" s="590"/>
      <c r="M308" s="590"/>
      <c r="N308" s="590"/>
      <c r="O308" s="590"/>
      <c r="P308" s="651">
        <f>+P307/P295</f>
        <v>0.23950299914310197</v>
      </c>
      <c r="Q308" s="652"/>
      <c r="R308" s="653">
        <f>+R307/R295</f>
        <v>0.26104455534062648</v>
      </c>
      <c r="S308" s="587"/>
      <c r="T308" s="521"/>
      <c r="U308" s="523"/>
      <c r="V308" s="506"/>
    </row>
    <row r="309" spans="1:22" s="507" customFormat="1" x14ac:dyDescent="0.35">
      <c r="A309" s="508"/>
      <c r="B309" s="509"/>
      <c r="C309" s="509"/>
      <c r="D309" s="509"/>
      <c r="E309" s="509"/>
      <c r="F309" s="509"/>
      <c r="G309" s="509"/>
      <c r="H309" s="595"/>
      <c r="I309" s="595"/>
      <c r="J309" s="595"/>
      <c r="K309" s="595"/>
      <c r="L309" s="595"/>
      <c r="M309" s="595"/>
      <c r="N309" s="595"/>
      <c r="O309" s="595"/>
      <c r="P309" s="595"/>
      <c r="Q309" s="595"/>
      <c r="R309" s="596"/>
      <c r="S309" s="595"/>
      <c r="T309" s="509"/>
      <c r="U309" s="509"/>
      <c r="V309" s="506"/>
    </row>
    <row r="310" spans="1:22" s="507" customFormat="1" x14ac:dyDescent="0.35">
      <c r="A310" s="508"/>
      <c r="B310" s="503" t="s">
        <v>95</v>
      </c>
      <c r="C310" s="509"/>
      <c r="D310" s="509"/>
      <c r="E310" s="509"/>
      <c r="F310" s="514" t="s">
        <v>101</v>
      </c>
      <c r="G310" s="509"/>
      <c r="H310" s="503" t="s">
        <v>103</v>
      </c>
      <c r="I310" s="509"/>
      <c r="J310" s="509"/>
      <c r="K310" s="509"/>
      <c r="L310" s="509"/>
      <c r="M310" s="509"/>
      <c r="N310" s="509"/>
      <c r="O310" s="509"/>
      <c r="P310" s="509"/>
      <c r="Q310" s="509"/>
      <c r="R310" s="509"/>
      <c r="S310" s="509"/>
      <c r="T310" s="509"/>
      <c r="U310" s="509"/>
      <c r="V310" s="506"/>
    </row>
    <row r="311" spans="1:22" s="507" customFormat="1" x14ac:dyDescent="0.35">
      <c r="A311" s="508"/>
      <c r="B311" s="503" t="s">
        <v>330</v>
      </c>
      <c r="C311" s="503"/>
      <c r="D311" s="503"/>
      <c r="E311" s="503"/>
      <c r="F311" s="597" t="s">
        <v>278</v>
      </c>
      <c r="G311" s="503"/>
      <c r="H311" s="476" t="s">
        <v>362</v>
      </c>
      <c r="I311" s="509"/>
      <c r="J311" s="509"/>
      <c r="K311" s="509"/>
      <c r="L311" s="509"/>
      <c r="M311" s="509"/>
      <c r="N311" s="509"/>
      <c r="O311" s="509"/>
      <c r="P311" s="509"/>
      <c r="Q311" s="509"/>
      <c r="R311" s="509"/>
      <c r="S311" s="509"/>
      <c r="T311" s="509"/>
      <c r="U311" s="509"/>
      <c r="V311" s="506"/>
    </row>
    <row r="312" spans="1:22" s="507" customFormat="1" x14ac:dyDescent="0.35">
      <c r="A312" s="508"/>
      <c r="B312" s="503" t="s">
        <v>331</v>
      </c>
      <c r="C312" s="503"/>
      <c r="D312" s="503"/>
      <c r="E312" s="503"/>
      <c r="F312" s="597" t="s">
        <v>154</v>
      </c>
      <c r="G312" s="503"/>
      <c r="H312" s="476" t="s">
        <v>363</v>
      </c>
      <c r="I312" s="509"/>
      <c r="J312" s="509"/>
      <c r="K312" s="509"/>
      <c r="L312" s="509"/>
      <c r="M312" s="509"/>
      <c r="N312" s="509"/>
      <c r="O312" s="509"/>
      <c r="P312" s="509"/>
      <c r="Q312" s="509"/>
      <c r="R312" s="509"/>
      <c r="S312" s="509"/>
      <c r="T312" s="509"/>
      <c r="U312" s="509"/>
      <c r="V312" s="506"/>
    </row>
    <row r="313" spans="1:22" s="507" customFormat="1" x14ac:dyDescent="0.35">
      <c r="A313" s="508"/>
      <c r="B313" s="503"/>
      <c r="C313" s="503"/>
      <c r="D313" s="503"/>
      <c r="E313" s="503"/>
      <c r="F313" s="597"/>
      <c r="G313" s="503"/>
      <c r="H313" s="503"/>
      <c r="I313" s="509"/>
      <c r="J313" s="509"/>
      <c r="K313" s="509"/>
      <c r="L313" s="509"/>
      <c r="M313" s="509"/>
      <c r="N313" s="509"/>
      <c r="O313" s="509"/>
      <c r="P313" s="509"/>
      <c r="Q313" s="509"/>
      <c r="R313" s="509"/>
      <c r="S313" s="509"/>
      <c r="T313" s="509"/>
      <c r="U313" s="509"/>
      <c r="V313" s="506"/>
    </row>
    <row r="314" spans="1:22" s="507" customFormat="1" x14ac:dyDescent="0.35">
      <c r="A314" s="508"/>
      <c r="B314" s="554" t="s">
        <v>358</v>
      </c>
      <c r="C314" s="503"/>
      <c r="D314" s="503"/>
      <c r="E314" s="503"/>
      <c r="F314" s="597"/>
      <c r="G314" s="503"/>
      <c r="H314" s="503"/>
      <c r="I314" s="509"/>
      <c r="J314" s="509"/>
      <c r="K314" s="509"/>
      <c r="L314" s="509"/>
      <c r="M314" s="509"/>
      <c r="N314" s="509"/>
      <c r="O314" s="509"/>
      <c r="P314" s="509"/>
      <c r="Q314" s="509"/>
      <c r="R314" s="509"/>
      <c r="S314" s="509"/>
      <c r="T314" s="509"/>
      <c r="U314" s="509"/>
      <c r="V314" s="506"/>
    </row>
    <row r="315" spans="1:22" s="507" customFormat="1" x14ac:dyDescent="0.35">
      <c r="A315" s="508"/>
      <c r="B315" s="554" t="s">
        <v>364</v>
      </c>
      <c r="C315" s="503"/>
      <c r="D315" s="503"/>
      <c r="E315" s="503"/>
      <c r="F315" s="597"/>
      <c r="G315" s="503"/>
      <c r="H315" s="503"/>
      <c r="I315" s="509"/>
      <c r="J315" s="509"/>
      <c r="K315" s="509"/>
      <c r="L315" s="509"/>
      <c r="M315" s="509"/>
      <c r="N315" s="509"/>
      <c r="O315" s="509"/>
      <c r="P315" s="509"/>
      <c r="Q315" s="509"/>
      <c r="R315" s="509"/>
      <c r="S315" s="509"/>
      <c r="T315" s="509"/>
      <c r="U315" s="509"/>
      <c r="V315" s="506"/>
    </row>
    <row r="316" spans="1:22" s="507" customFormat="1" x14ac:dyDescent="0.35">
      <c r="A316" s="508"/>
      <c r="B316" s="554" t="s">
        <v>357</v>
      </c>
      <c r="C316" s="503"/>
      <c r="D316" s="503"/>
      <c r="E316" s="503"/>
      <c r="F316" s="597"/>
      <c r="G316" s="503"/>
      <c r="H316" s="503"/>
      <c r="I316" s="509"/>
      <c r="J316" s="509"/>
      <c r="K316" s="509"/>
      <c r="L316" s="509"/>
      <c r="M316" s="509"/>
      <c r="N316" s="509"/>
      <c r="O316" s="509"/>
      <c r="P316" s="509"/>
      <c r="Q316" s="509"/>
      <c r="R316" s="509"/>
      <c r="S316" s="509"/>
      <c r="T316" s="509"/>
      <c r="U316" s="509"/>
      <c r="V316" s="506"/>
    </row>
    <row r="317" spans="1:22" s="507" customFormat="1" x14ac:dyDescent="0.35">
      <c r="A317" s="508"/>
      <c r="B317" s="554" t="s">
        <v>356</v>
      </c>
      <c r="C317" s="503"/>
      <c r="D317" s="503"/>
      <c r="E317" s="503"/>
      <c r="F317" s="597"/>
      <c r="G317" s="503"/>
      <c r="H317" s="503"/>
      <c r="I317" s="509"/>
      <c r="J317" s="509"/>
      <c r="K317" s="509"/>
      <c r="L317" s="509"/>
      <c r="M317" s="509"/>
      <c r="N317" s="509"/>
      <c r="O317" s="509"/>
      <c r="P317" s="509"/>
      <c r="Q317" s="509"/>
      <c r="R317" s="509"/>
      <c r="S317" s="509"/>
      <c r="T317" s="509"/>
      <c r="U317" s="509"/>
      <c r="V317" s="506"/>
    </row>
    <row r="318" spans="1:22" s="507" customFormat="1" x14ac:dyDescent="0.35">
      <c r="A318" s="508"/>
      <c r="B318" s="554"/>
      <c r="C318" s="503"/>
      <c r="D318" s="503"/>
      <c r="E318" s="503"/>
      <c r="F318" s="597"/>
      <c r="G318" s="503"/>
      <c r="H318" s="503"/>
      <c r="I318" s="509"/>
      <c r="J318" s="509"/>
      <c r="K318" s="509"/>
      <c r="L318" s="509"/>
      <c r="M318" s="509"/>
      <c r="N318" s="509"/>
      <c r="O318" s="509"/>
      <c r="P318" s="509"/>
      <c r="Q318" s="509"/>
      <c r="R318" s="509"/>
      <c r="S318" s="509"/>
      <c r="T318" s="509"/>
      <c r="U318" s="509"/>
      <c r="V318" s="506"/>
    </row>
    <row r="319" spans="1:22" s="507" customFormat="1" x14ac:dyDescent="0.35">
      <c r="A319" s="508"/>
      <c r="B319" s="636" t="s">
        <v>401</v>
      </c>
      <c r="C319" s="503"/>
      <c r="D319" s="503"/>
      <c r="E319" s="503"/>
      <c r="F319" s="597"/>
      <c r="G319" s="503"/>
      <c r="H319" s="503"/>
      <c r="I319" s="509"/>
      <c r="J319" s="509"/>
      <c r="K319" s="509"/>
      <c r="L319" s="509"/>
      <c r="M319" s="509"/>
      <c r="N319" s="509"/>
      <c r="O319" s="509"/>
      <c r="P319" s="509"/>
      <c r="Q319" s="509"/>
      <c r="R319" s="509"/>
      <c r="S319" s="509"/>
      <c r="T319" s="509"/>
      <c r="U319" s="509"/>
      <c r="V319" s="506"/>
    </row>
    <row r="320" spans="1:22" s="507" customFormat="1" x14ac:dyDescent="0.35">
      <c r="A320" s="508"/>
      <c r="B320" s="554"/>
      <c r="C320" s="503"/>
      <c r="D320" s="503"/>
      <c r="E320" s="503"/>
      <c r="F320" s="597"/>
      <c r="G320" s="503"/>
      <c r="H320" s="503"/>
      <c r="I320" s="509"/>
      <c r="J320" s="509"/>
      <c r="K320" s="509"/>
      <c r="L320" s="509"/>
      <c r="M320" s="509"/>
      <c r="N320" s="509"/>
      <c r="O320" s="509"/>
      <c r="P320" s="509"/>
      <c r="Q320" s="509"/>
      <c r="R320" s="509"/>
      <c r="S320" s="509"/>
      <c r="T320" s="509"/>
      <c r="U320" s="509"/>
      <c r="V320" s="506"/>
    </row>
    <row r="321" spans="1:22" x14ac:dyDescent="0.35">
      <c r="A321" s="407"/>
      <c r="B321" s="423"/>
      <c r="C321" s="414"/>
      <c r="D321" s="414"/>
      <c r="E321" s="414"/>
      <c r="F321" s="471"/>
      <c r="G321" s="414"/>
      <c r="H321" s="414"/>
      <c r="I321" s="424"/>
      <c r="J321" s="424"/>
      <c r="K321" s="424"/>
      <c r="L321" s="424"/>
      <c r="M321" s="424"/>
      <c r="N321" s="424"/>
      <c r="O321" s="424"/>
      <c r="P321" s="424"/>
      <c r="Q321" s="424"/>
      <c r="R321" s="424"/>
      <c r="S321" s="424"/>
      <c r="T321" s="424"/>
      <c r="U321" s="424"/>
      <c r="V321" s="405"/>
    </row>
    <row r="322" spans="1:22" ht="18.5" x14ac:dyDescent="0.45">
      <c r="A322" s="407"/>
      <c r="B322" s="477" t="s">
        <v>359</v>
      </c>
      <c r="C322" s="414"/>
      <c r="D322" s="414"/>
      <c r="E322" s="414"/>
      <c r="F322" s="414"/>
      <c r="G322" s="414"/>
      <c r="H322" s="424"/>
      <c r="I322" s="424"/>
      <c r="J322" s="424"/>
      <c r="K322" s="424"/>
      <c r="L322" s="409"/>
      <c r="M322" s="409"/>
      <c r="N322" s="472"/>
      <c r="O322" s="409"/>
      <c r="P322" s="474" t="s">
        <v>361</v>
      </c>
      <c r="Q322" s="424"/>
      <c r="R322" s="424"/>
      <c r="S322" s="424"/>
      <c r="T322" s="424"/>
      <c r="U322" s="424"/>
      <c r="V322" s="405"/>
    </row>
    <row r="323" spans="1:22" x14ac:dyDescent="0.35">
      <c r="A323" s="407"/>
      <c r="B323" s="414"/>
      <c r="C323" s="414"/>
      <c r="D323" s="414"/>
      <c r="E323" s="414"/>
      <c r="F323" s="414"/>
      <c r="G323" s="414"/>
      <c r="H323" s="424"/>
      <c r="I323" s="424"/>
      <c r="J323" s="424"/>
      <c r="K323" s="424"/>
      <c r="L323" s="424"/>
      <c r="M323" s="424"/>
      <c r="N323" s="424"/>
      <c r="O323" s="424"/>
      <c r="P323" s="424"/>
      <c r="Q323" s="424"/>
      <c r="R323" s="424"/>
      <c r="S323" s="424"/>
      <c r="T323" s="424"/>
      <c r="U323" s="424"/>
      <c r="V323" s="405"/>
    </row>
    <row r="324" spans="1:22" ht="19" thickBot="1" x14ac:dyDescent="0.5">
      <c r="A324" s="407"/>
      <c r="B324" s="598" t="str">
        <f>B199</f>
        <v>PM10 INVESTOR REPORT QUARTER ENDING MAY 2020</v>
      </c>
      <c r="C324" s="414"/>
      <c r="D324" s="414"/>
      <c r="E324" s="414"/>
      <c r="F324" s="414"/>
      <c r="G324" s="414"/>
      <c r="H324" s="424"/>
      <c r="I324" s="424"/>
      <c r="J324" s="424"/>
      <c r="K324" s="424"/>
      <c r="L324" s="424"/>
      <c r="M324" s="424"/>
      <c r="N324" s="424"/>
      <c r="O324" s="424"/>
      <c r="P324" s="424"/>
      <c r="Q324" s="424"/>
      <c r="R324" s="424"/>
      <c r="S324" s="424"/>
      <c r="T324" s="424"/>
      <c r="U324" s="424"/>
      <c r="V324" s="405"/>
    </row>
    <row r="325" spans="1:22" x14ac:dyDescent="0.35">
      <c r="A325" s="473"/>
      <c r="B325" s="473"/>
      <c r="C325" s="473"/>
      <c r="D325" s="473"/>
      <c r="E325" s="473"/>
      <c r="F325" s="473"/>
      <c r="G325" s="473"/>
      <c r="H325" s="473"/>
      <c r="I325" s="473"/>
      <c r="J325" s="473"/>
      <c r="K325" s="473"/>
      <c r="L325" s="473"/>
      <c r="M325" s="473"/>
      <c r="N325" s="473"/>
      <c r="O325" s="473"/>
      <c r="P325" s="473"/>
      <c r="Q325" s="473"/>
      <c r="R325" s="473"/>
      <c r="S325" s="473"/>
      <c r="T325" s="473"/>
      <c r="U325" s="473"/>
    </row>
    <row r="326" spans="1:22" x14ac:dyDescent="0.35">
      <c r="B326" s="647" t="s">
        <v>390</v>
      </c>
    </row>
    <row r="327" spans="1:22" x14ac:dyDescent="0.35">
      <c r="B327" s="648" t="s">
        <v>391</v>
      </c>
    </row>
    <row r="328" spans="1:22" x14ac:dyDescent="0.35">
      <c r="B328" s="648" t="s">
        <v>392</v>
      </c>
    </row>
    <row r="329" spans="1:22" x14ac:dyDescent="0.35">
      <c r="B329" s="648" t="s">
        <v>393</v>
      </c>
    </row>
    <row r="330" spans="1:22" x14ac:dyDescent="0.35">
      <c r="B330" s="648" t="s">
        <v>394</v>
      </c>
    </row>
    <row r="331" spans="1:22" x14ac:dyDescent="0.35">
      <c r="B331" s="648" t="s">
        <v>395</v>
      </c>
    </row>
    <row r="332" spans="1:22" x14ac:dyDescent="0.35">
      <c r="B332" s="648" t="s">
        <v>396</v>
      </c>
    </row>
    <row r="333" spans="1:22" x14ac:dyDescent="0.35">
      <c r="B333" s="648" t="s">
        <v>397</v>
      </c>
    </row>
    <row r="334" spans="1:22" x14ac:dyDescent="0.35">
      <c r="B334" s="648"/>
    </row>
    <row r="335" spans="1:22" x14ac:dyDescent="0.35">
      <c r="B335" s="647" t="s">
        <v>398</v>
      </c>
    </row>
    <row r="336" spans="1:22" x14ac:dyDescent="0.35">
      <c r="B336" s="648" t="s">
        <v>399</v>
      </c>
    </row>
    <row r="337" spans="2:2" x14ac:dyDescent="0.35">
      <c r="B337" s="648" t="s">
        <v>400</v>
      </c>
    </row>
  </sheetData>
  <hyperlinks>
    <hyperlink ref="J9" r:id="rId1" xr:uid="{63D52F67-F5E0-4315-940E-17A7B26CD8AE}"/>
    <hyperlink ref="N235" r:id="rId2" xr:uid="{FA952AF5-7639-40BB-B308-0120DFE67EA5}"/>
    <hyperlink ref="P322" r:id="rId3" xr:uid="{DF666DB6-C450-4E53-9AD4-CAAE22331B37}"/>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8" max="14" man="1"/>
    <brk id="199" max="14" man="1"/>
  </rowBreaks>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E3EC-536C-42BE-8FAD-09CA88617EA2}">
  <sheetPr>
    <tabColor rgb="FF2D2926"/>
  </sheetPr>
  <dimension ref="A1:Z345"/>
  <sheetViews>
    <sheetView showGridLines="0" tabSelected="1" showOutlineSymbols="0" zoomScale="70" zoomScaleNormal="70" workbookViewId="0"/>
  </sheetViews>
  <sheetFormatPr defaultColWidth="9.61328125" defaultRowHeight="15.5" x14ac:dyDescent="0.35"/>
  <cols>
    <col min="1" max="1" width="4" style="406" customWidth="1"/>
    <col min="2" max="2" width="71.15234375" style="406" customWidth="1"/>
    <col min="3" max="3" width="2.15234375" style="406" customWidth="1"/>
    <col min="4" max="4" width="19.3828125" style="406" customWidth="1"/>
    <col min="5" max="5" width="2.15234375" style="406" customWidth="1"/>
    <col min="6" max="6" width="25.07421875" style="406" customWidth="1"/>
    <col min="7" max="7" width="2.15234375" style="406" customWidth="1"/>
    <col min="8" max="8" width="16.15234375" style="406" customWidth="1"/>
    <col min="9" max="9" width="2.15234375" style="406" customWidth="1"/>
    <col min="10" max="10" width="17.921875" style="406" customWidth="1"/>
    <col min="11" max="11" width="2.3828125" style="406" customWidth="1"/>
    <col min="12" max="12" width="14.921875" style="406" customWidth="1"/>
    <col min="13" max="13" width="2.3828125" style="406" customWidth="1"/>
    <col min="14" max="14" width="15.53515625" style="406" customWidth="1"/>
    <col min="15" max="15" width="2.15234375" style="406" customWidth="1"/>
    <col min="16" max="16" width="15.53515625" style="406" customWidth="1"/>
    <col min="17" max="18" width="12.61328125" style="406" customWidth="1"/>
    <col min="19" max="19" width="7.84375" style="406" customWidth="1"/>
    <col min="20" max="20" width="14.61328125" style="406" customWidth="1"/>
    <col min="21" max="21" width="11.84375" style="406" customWidth="1"/>
    <col min="22" max="16384" width="9.61328125" style="406"/>
  </cols>
  <sheetData>
    <row r="1" spans="1:22" ht="21" x14ac:dyDescent="0.5">
      <c r="A1" s="403"/>
      <c r="B1" s="501" t="s">
        <v>188</v>
      </c>
      <c r="C1" s="404"/>
      <c r="D1" s="404"/>
      <c r="E1" s="404"/>
      <c r="F1" s="404"/>
      <c r="G1" s="404"/>
      <c r="H1" s="404"/>
      <c r="I1" s="404"/>
      <c r="J1" s="404"/>
      <c r="K1" s="404"/>
      <c r="L1" s="404"/>
      <c r="M1" s="404"/>
      <c r="N1" s="404"/>
      <c r="O1" s="404"/>
      <c r="P1" s="404"/>
      <c r="Q1" s="404"/>
      <c r="R1" s="404"/>
      <c r="S1" s="404"/>
      <c r="T1" s="404"/>
      <c r="U1" s="404"/>
      <c r="V1" s="405"/>
    </row>
    <row r="2" spans="1:22" x14ac:dyDescent="0.35">
      <c r="A2" s="407"/>
      <c r="B2" s="408"/>
      <c r="C2" s="409"/>
      <c r="D2" s="409"/>
      <c r="E2" s="409"/>
      <c r="F2" s="409"/>
      <c r="G2" s="409"/>
      <c r="H2" s="409"/>
      <c r="I2" s="409"/>
      <c r="J2" s="409"/>
      <c r="K2" s="409"/>
      <c r="L2" s="409"/>
      <c r="M2" s="409"/>
      <c r="N2" s="409"/>
      <c r="O2" s="409"/>
      <c r="P2" s="409"/>
      <c r="Q2" s="409"/>
      <c r="R2" s="409"/>
      <c r="S2" s="409"/>
      <c r="T2" s="409"/>
      <c r="U2" s="409"/>
      <c r="V2" s="405"/>
    </row>
    <row r="3" spans="1:22" x14ac:dyDescent="0.35">
      <c r="A3" s="410"/>
      <c r="B3" s="484" t="s">
        <v>189</v>
      </c>
      <c r="C3" s="409"/>
      <c r="D3" s="409"/>
      <c r="E3" s="409"/>
      <c r="F3" s="409"/>
      <c r="G3" s="409"/>
      <c r="H3" s="409"/>
      <c r="I3" s="409"/>
      <c r="J3" s="409"/>
      <c r="K3" s="409"/>
      <c r="L3" s="409"/>
      <c r="M3" s="409"/>
      <c r="N3" s="409"/>
      <c r="O3" s="409"/>
      <c r="P3" s="409"/>
      <c r="Q3" s="409"/>
      <c r="R3" s="409"/>
      <c r="S3" s="409"/>
      <c r="T3" s="409"/>
      <c r="U3" s="409"/>
      <c r="V3" s="405"/>
    </row>
    <row r="4" spans="1:22" x14ac:dyDescent="0.35">
      <c r="A4" s="407"/>
      <c r="B4" s="408"/>
      <c r="C4" s="409"/>
      <c r="D4" s="409"/>
      <c r="E4" s="409"/>
      <c r="F4" s="409"/>
      <c r="G4" s="409"/>
      <c r="H4" s="409"/>
      <c r="I4" s="409"/>
      <c r="J4" s="409"/>
      <c r="K4" s="409"/>
      <c r="L4" s="409"/>
      <c r="M4" s="409"/>
      <c r="N4" s="409"/>
      <c r="O4" s="409"/>
      <c r="P4" s="409"/>
      <c r="Q4" s="409"/>
      <c r="R4" s="409"/>
      <c r="S4" s="409"/>
      <c r="T4" s="409"/>
      <c r="U4" s="409"/>
      <c r="V4" s="405"/>
    </row>
    <row r="5" spans="1:22" x14ac:dyDescent="0.35">
      <c r="A5" s="407"/>
      <c r="B5" s="502" t="s">
        <v>144</v>
      </c>
      <c r="C5" s="409"/>
      <c r="D5" s="409"/>
      <c r="E5" s="409"/>
      <c r="F5" s="409"/>
      <c r="G5" s="409"/>
      <c r="H5" s="409"/>
      <c r="I5" s="409"/>
      <c r="J5" s="409"/>
      <c r="K5" s="409"/>
      <c r="L5" s="409"/>
      <c r="M5" s="409"/>
      <c r="N5" s="409"/>
      <c r="O5" s="409"/>
      <c r="P5" s="409"/>
      <c r="Q5" s="409"/>
      <c r="R5" s="409"/>
      <c r="S5" s="409"/>
      <c r="T5" s="409"/>
      <c r="U5" s="409"/>
      <c r="V5" s="405"/>
    </row>
    <row r="6" spans="1:22" x14ac:dyDescent="0.35">
      <c r="A6" s="407"/>
      <c r="B6" s="502" t="s">
        <v>146</v>
      </c>
      <c r="C6" s="409"/>
      <c r="D6" s="409"/>
      <c r="E6" s="409"/>
      <c r="F6" s="409"/>
      <c r="G6" s="409"/>
      <c r="H6" s="409"/>
      <c r="I6" s="409"/>
      <c r="J6" s="409"/>
      <c r="K6" s="409"/>
      <c r="L6" s="409"/>
      <c r="M6" s="409"/>
      <c r="N6" s="409"/>
      <c r="O6" s="409"/>
      <c r="P6" s="409"/>
      <c r="Q6" s="409"/>
      <c r="R6" s="409"/>
      <c r="S6" s="409"/>
      <c r="T6" s="409"/>
      <c r="U6" s="409"/>
      <c r="V6" s="405"/>
    </row>
    <row r="7" spans="1:22" x14ac:dyDescent="0.35">
      <c r="A7" s="407"/>
      <c r="B7" s="502" t="s">
        <v>145</v>
      </c>
      <c r="C7" s="409"/>
      <c r="D7" s="409"/>
      <c r="E7" s="409"/>
      <c r="F7" s="409"/>
      <c r="G7" s="409"/>
      <c r="H7" s="409"/>
      <c r="I7" s="409"/>
      <c r="J7" s="409"/>
      <c r="K7" s="409"/>
      <c r="L7" s="409"/>
      <c r="M7" s="409"/>
      <c r="N7" s="409"/>
      <c r="O7" s="409"/>
      <c r="P7" s="409"/>
      <c r="Q7" s="409"/>
      <c r="R7" s="409"/>
      <c r="S7" s="409"/>
      <c r="T7" s="409"/>
      <c r="U7" s="409"/>
      <c r="V7" s="405"/>
    </row>
    <row r="8" spans="1:22" x14ac:dyDescent="0.35">
      <c r="A8" s="407"/>
      <c r="B8" s="412"/>
      <c r="C8" s="409"/>
      <c r="D8" s="409"/>
      <c r="E8" s="409"/>
      <c r="F8" s="409"/>
      <c r="G8" s="409"/>
      <c r="H8" s="409"/>
      <c r="I8" s="409"/>
      <c r="J8" s="409"/>
      <c r="K8" s="409"/>
      <c r="L8" s="409"/>
      <c r="M8" s="409"/>
      <c r="N8" s="409"/>
      <c r="O8" s="409"/>
      <c r="P8" s="409"/>
      <c r="Q8" s="409"/>
      <c r="R8" s="409"/>
      <c r="S8" s="409"/>
      <c r="T8" s="409"/>
      <c r="U8" s="409"/>
      <c r="V8" s="405"/>
    </row>
    <row r="9" spans="1:22" ht="18.5" x14ac:dyDescent="0.45">
      <c r="A9" s="407"/>
      <c r="B9" s="500" t="s">
        <v>176</v>
      </c>
      <c r="C9" s="409"/>
      <c r="D9" s="409"/>
      <c r="E9" s="409"/>
      <c r="F9" s="409"/>
      <c r="G9" s="409"/>
      <c r="H9" s="409"/>
      <c r="I9" s="409"/>
      <c r="J9" s="474" t="s">
        <v>361</v>
      </c>
      <c r="K9" s="409"/>
      <c r="L9" s="409"/>
      <c r="M9" s="409"/>
      <c r="N9" s="409"/>
      <c r="O9" s="409"/>
      <c r="P9" s="409"/>
      <c r="Q9" s="409"/>
      <c r="R9" s="409"/>
      <c r="S9" s="409"/>
      <c r="T9" s="409"/>
      <c r="U9" s="409"/>
      <c r="V9" s="405"/>
    </row>
    <row r="10" spans="1:22" x14ac:dyDescent="0.35">
      <c r="A10" s="407"/>
      <c r="B10" s="412"/>
      <c r="C10" s="413"/>
      <c r="D10" s="413"/>
      <c r="E10" s="413"/>
      <c r="F10" s="409"/>
      <c r="G10" s="409"/>
      <c r="H10" s="409"/>
      <c r="I10" s="409"/>
      <c r="J10" s="409"/>
      <c r="K10" s="409"/>
      <c r="L10" s="409"/>
      <c r="M10" s="409"/>
      <c r="N10" s="409"/>
      <c r="O10" s="409"/>
      <c r="P10" s="409"/>
      <c r="Q10" s="409"/>
      <c r="R10" s="409"/>
      <c r="S10" s="409"/>
      <c r="T10" s="409"/>
      <c r="U10" s="409"/>
      <c r="V10" s="405"/>
    </row>
    <row r="11" spans="1:22" x14ac:dyDescent="0.35">
      <c r="A11" s="407"/>
      <c r="B11" s="503" t="s">
        <v>0</v>
      </c>
      <c r="C11" s="409"/>
      <c r="D11" s="409"/>
      <c r="E11" s="409"/>
      <c r="F11" s="409"/>
      <c r="G11" s="409"/>
      <c r="H11" s="409"/>
      <c r="I11" s="409"/>
      <c r="J11" s="409"/>
      <c r="K11" s="409"/>
      <c r="L11" s="409"/>
      <c r="M11" s="409"/>
      <c r="N11" s="409"/>
      <c r="O11" s="409"/>
      <c r="P11" s="409"/>
      <c r="Q11" s="409"/>
      <c r="R11" s="409"/>
      <c r="S11" s="409"/>
      <c r="T11" s="409"/>
      <c r="U11" s="409"/>
      <c r="V11" s="405"/>
    </row>
    <row r="12" spans="1:22" ht="16" thickBot="1" x14ac:dyDescent="0.4">
      <c r="A12" s="407"/>
      <c r="B12" s="413"/>
      <c r="C12" s="409"/>
      <c r="D12" s="409"/>
      <c r="E12" s="409"/>
      <c r="F12" s="409"/>
      <c r="G12" s="409"/>
      <c r="H12" s="409"/>
      <c r="I12" s="409"/>
      <c r="J12" s="409"/>
      <c r="K12" s="409"/>
      <c r="L12" s="409"/>
      <c r="M12" s="409"/>
      <c r="N12" s="409"/>
      <c r="O12" s="409"/>
      <c r="P12" s="409"/>
      <c r="Q12" s="409"/>
      <c r="R12" s="409"/>
      <c r="S12" s="409"/>
      <c r="T12" s="409"/>
      <c r="U12" s="409"/>
      <c r="V12" s="405"/>
    </row>
    <row r="13" spans="1:22" s="507" customFormat="1" x14ac:dyDescent="0.35">
      <c r="A13" s="504"/>
      <c r="B13" s="505"/>
      <c r="C13" s="505"/>
      <c r="D13" s="505"/>
      <c r="E13" s="505"/>
      <c r="F13" s="505"/>
      <c r="G13" s="505"/>
      <c r="H13" s="505"/>
      <c r="I13" s="505"/>
      <c r="J13" s="505"/>
      <c r="K13" s="505"/>
      <c r="L13" s="505"/>
      <c r="M13" s="505"/>
      <c r="N13" s="505"/>
      <c r="O13" s="505"/>
      <c r="P13" s="505"/>
      <c r="Q13" s="505"/>
      <c r="R13" s="505"/>
      <c r="S13" s="505"/>
      <c r="T13" s="505"/>
      <c r="U13" s="505"/>
      <c r="V13" s="506"/>
    </row>
    <row r="14" spans="1:22" s="507" customFormat="1" x14ac:dyDescent="0.35">
      <c r="A14" s="508"/>
      <c r="B14" s="503" t="s">
        <v>1</v>
      </c>
      <c r="C14" s="509"/>
      <c r="D14" s="509"/>
      <c r="E14" s="509"/>
      <c r="F14" s="509"/>
      <c r="G14" s="509"/>
      <c r="H14" s="509"/>
      <c r="I14" s="509"/>
      <c r="J14" s="509"/>
      <c r="K14" s="509"/>
      <c r="L14" s="509"/>
      <c r="M14" s="509"/>
      <c r="N14" s="509"/>
      <c r="O14" s="509"/>
      <c r="P14" s="509"/>
      <c r="Q14" s="509"/>
      <c r="R14" s="509"/>
      <c r="S14" s="509"/>
      <c r="T14" s="510" t="s">
        <v>190</v>
      </c>
      <c r="U14" s="509"/>
      <c r="V14" s="506"/>
    </row>
    <row r="15" spans="1:22" s="507" customFormat="1" x14ac:dyDescent="0.35">
      <c r="A15" s="508"/>
      <c r="B15" s="503" t="s">
        <v>2</v>
      </c>
      <c r="C15" s="509"/>
      <c r="D15" s="511"/>
      <c r="E15" s="509"/>
      <c r="F15" s="509"/>
      <c r="G15" s="509"/>
      <c r="H15" s="512"/>
      <c r="I15" s="512"/>
      <c r="J15" s="512"/>
      <c r="K15" s="512"/>
      <c r="L15" s="512"/>
      <c r="M15" s="512"/>
      <c r="N15" s="512"/>
      <c r="O15" s="512"/>
      <c r="P15" s="512" t="s">
        <v>108</v>
      </c>
      <c r="Q15" s="513">
        <v>0.49540000000000001</v>
      </c>
      <c r="R15" s="514" t="s">
        <v>147</v>
      </c>
      <c r="S15" s="513">
        <v>0.50460000000000005</v>
      </c>
      <c r="T15" s="510"/>
      <c r="U15" s="509"/>
      <c r="V15" s="506"/>
    </row>
    <row r="16" spans="1:22" s="507" customFormat="1" x14ac:dyDescent="0.35">
      <c r="A16" s="508"/>
      <c r="B16" s="503" t="s">
        <v>3</v>
      </c>
      <c r="C16" s="509"/>
      <c r="D16" s="509"/>
      <c r="E16" s="509"/>
      <c r="F16" s="509"/>
      <c r="G16" s="509"/>
      <c r="H16" s="512"/>
      <c r="I16" s="512"/>
      <c r="J16" s="512"/>
      <c r="K16" s="512"/>
      <c r="L16" s="512"/>
      <c r="M16" s="512"/>
      <c r="N16" s="512"/>
      <c r="O16" s="512"/>
      <c r="P16" s="512" t="s">
        <v>108</v>
      </c>
      <c r="Q16" s="513">
        <v>0</v>
      </c>
      <c r="R16" s="514" t="s">
        <v>147</v>
      </c>
      <c r="S16" s="513">
        <v>0</v>
      </c>
      <c r="T16" s="510"/>
      <c r="U16" s="509"/>
      <c r="V16" s="506"/>
    </row>
    <row r="17" spans="1:22" s="507" customFormat="1" x14ac:dyDescent="0.35">
      <c r="A17" s="508"/>
      <c r="B17" s="503" t="s">
        <v>4</v>
      </c>
      <c r="C17" s="509"/>
      <c r="D17" s="515"/>
      <c r="E17" s="509"/>
      <c r="F17" s="509"/>
      <c r="G17" s="509"/>
      <c r="H17" s="509"/>
      <c r="I17" s="509"/>
      <c r="J17" s="509"/>
      <c r="K17" s="509"/>
      <c r="L17" s="509"/>
      <c r="M17" s="509"/>
      <c r="N17" s="509"/>
      <c r="O17" s="509"/>
      <c r="P17" s="509"/>
      <c r="Q17" s="509"/>
      <c r="R17" s="509"/>
      <c r="S17" s="509"/>
      <c r="T17" s="516">
        <v>38673</v>
      </c>
      <c r="U17" s="509"/>
      <c r="V17" s="506"/>
    </row>
    <row r="18" spans="1:22" s="507" customFormat="1" x14ac:dyDescent="0.35">
      <c r="A18" s="508"/>
      <c r="B18" s="503" t="s">
        <v>5</v>
      </c>
      <c r="C18" s="509"/>
      <c r="D18" s="515"/>
      <c r="E18" s="509"/>
      <c r="F18" s="509"/>
      <c r="G18" s="509"/>
      <c r="H18" s="509"/>
      <c r="I18" s="509"/>
      <c r="J18" s="509"/>
      <c r="K18" s="509"/>
      <c r="L18" s="509"/>
      <c r="M18" s="509"/>
      <c r="N18" s="509"/>
      <c r="O18" s="509"/>
      <c r="P18" s="509"/>
      <c r="Q18" s="509"/>
      <c r="R18" s="509"/>
      <c r="S18" s="509"/>
      <c r="T18" s="516">
        <v>44095</v>
      </c>
      <c r="U18" s="509"/>
      <c r="V18" s="506"/>
    </row>
    <row r="19" spans="1:22" s="507" customFormat="1" x14ac:dyDescent="0.35">
      <c r="A19" s="508"/>
      <c r="B19" s="509"/>
      <c r="C19" s="509"/>
      <c r="D19" s="517"/>
      <c r="E19" s="509"/>
      <c r="F19" s="509"/>
      <c r="G19" s="509"/>
      <c r="H19" s="509"/>
      <c r="I19" s="509"/>
      <c r="J19" s="509"/>
      <c r="K19" s="509"/>
      <c r="L19" s="509"/>
      <c r="M19" s="509"/>
      <c r="N19" s="509"/>
      <c r="O19" s="509"/>
      <c r="P19" s="509"/>
      <c r="Q19" s="509"/>
      <c r="R19" s="509"/>
      <c r="S19" s="509"/>
      <c r="T19" s="518"/>
      <c r="U19" s="509"/>
      <c r="V19" s="506"/>
    </row>
    <row r="20" spans="1:22" s="507" customFormat="1" x14ac:dyDescent="0.35">
      <c r="A20" s="508"/>
      <c r="B20" s="519" t="s">
        <v>6</v>
      </c>
      <c r="C20" s="509"/>
      <c r="D20" s="509"/>
      <c r="E20" s="509"/>
      <c r="F20" s="509"/>
      <c r="G20" s="509"/>
      <c r="H20" s="509"/>
      <c r="I20" s="509"/>
      <c r="J20" s="509"/>
      <c r="K20" s="509"/>
      <c r="L20" s="509"/>
      <c r="M20" s="509"/>
      <c r="N20" s="509"/>
      <c r="O20" s="509"/>
      <c r="P20" s="509"/>
      <c r="Q20" s="509"/>
      <c r="R20" s="518" t="s">
        <v>109</v>
      </c>
      <c r="S20" s="509"/>
      <c r="T20" s="509"/>
      <c r="U20" s="509"/>
      <c r="V20" s="506"/>
    </row>
    <row r="21" spans="1:22" x14ac:dyDescent="0.35">
      <c r="A21" s="407"/>
      <c r="B21" s="409"/>
      <c r="C21" s="409"/>
      <c r="D21" s="409"/>
      <c r="E21" s="409"/>
      <c r="F21" s="409"/>
      <c r="G21" s="409"/>
      <c r="H21" s="409"/>
      <c r="I21" s="409"/>
      <c r="J21" s="409"/>
      <c r="K21" s="409"/>
      <c r="L21" s="409"/>
      <c r="M21" s="409"/>
      <c r="N21" s="409"/>
      <c r="O21" s="409"/>
      <c r="P21" s="409"/>
      <c r="Q21" s="409"/>
      <c r="R21" s="409"/>
      <c r="S21" s="409"/>
      <c r="T21" s="415"/>
      <c r="U21" s="409"/>
      <c r="V21" s="405"/>
    </row>
    <row r="22" spans="1:22" x14ac:dyDescent="0.35">
      <c r="A22" s="599"/>
      <c r="B22" s="600"/>
      <c r="C22" s="601"/>
      <c r="D22" s="601" t="s">
        <v>191</v>
      </c>
      <c r="E22" s="601"/>
      <c r="F22" s="601" t="s">
        <v>192</v>
      </c>
      <c r="G22" s="601"/>
      <c r="H22" s="601" t="s">
        <v>193</v>
      </c>
      <c r="I22" s="601"/>
      <c r="J22" s="601" t="s">
        <v>194</v>
      </c>
      <c r="K22" s="601"/>
      <c r="L22" s="601" t="s">
        <v>195</v>
      </c>
      <c r="M22" s="601"/>
      <c r="N22" s="601" t="s">
        <v>196</v>
      </c>
      <c r="O22" s="601"/>
      <c r="P22" s="601" t="s">
        <v>197</v>
      </c>
      <c r="Q22" s="602"/>
      <c r="R22" s="602"/>
      <c r="S22" s="600"/>
      <c r="T22" s="600"/>
      <c r="U22" s="600"/>
      <c r="V22" s="405"/>
    </row>
    <row r="23" spans="1:22" s="507" customFormat="1" x14ac:dyDescent="0.35">
      <c r="A23" s="520"/>
      <c r="B23" s="521" t="s">
        <v>7</v>
      </c>
      <c r="C23" s="522"/>
      <c r="D23" s="522" t="s">
        <v>256</v>
      </c>
      <c r="E23" s="522"/>
      <c r="F23" s="522" t="s">
        <v>148</v>
      </c>
      <c r="G23" s="522"/>
      <c r="H23" s="522" t="s">
        <v>148</v>
      </c>
      <c r="I23" s="522"/>
      <c r="J23" s="522" t="s">
        <v>198</v>
      </c>
      <c r="K23" s="522"/>
      <c r="L23" s="522" t="s">
        <v>198</v>
      </c>
      <c r="M23" s="522"/>
      <c r="N23" s="522" t="s">
        <v>149</v>
      </c>
      <c r="O23" s="522"/>
      <c r="P23" s="522" t="s">
        <v>149</v>
      </c>
      <c r="Q23" s="522"/>
      <c r="R23" s="522"/>
      <c r="S23" s="521"/>
      <c r="T23" s="521"/>
      <c r="U23" s="523"/>
      <c r="V23" s="506"/>
    </row>
    <row r="24" spans="1:22" s="507" customFormat="1" x14ac:dyDescent="0.35">
      <c r="A24" s="520"/>
      <c r="B24" s="521" t="s">
        <v>8</v>
      </c>
      <c r="C24" s="522"/>
      <c r="D24" s="522" t="s">
        <v>257</v>
      </c>
      <c r="E24" s="522"/>
      <c r="F24" s="522" t="s">
        <v>150</v>
      </c>
      <c r="G24" s="522"/>
      <c r="H24" s="522" t="s">
        <v>150</v>
      </c>
      <c r="I24" s="522"/>
      <c r="J24" s="522" t="s">
        <v>175</v>
      </c>
      <c r="K24" s="522"/>
      <c r="L24" s="522" t="s">
        <v>175</v>
      </c>
      <c r="M24" s="522"/>
      <c r="N24" s="522" t="s">
        <v>151</v>
      </c>
      <c r="O24" s="522"/>
      <c r="P24" s="522" t="s">
        <v>151</v>
      </c>
      <c r="Q24" s="522"/>
      <c r="R24" s="522"/>
      <c r="S24" s="521"/>
      <c r="T24" s="521"/>
      <c r="U24" s="523"/>
      <c r="V24" s="506"/>
    </row>
    <row r="25" spans="1:22" s="507" customFormat="1" x14ac:dyDescent="0.35">
      <c r="A25" s="524"/>
      <c r="B25" s="521" t="s">
        <v>223</v>
      </c>
      <c r="C25" s="525"/>
      <c r="D25" s="522" t="s">
        <v>258</v>
      </c>
      <c r="E25" s="522"/>
      <c r="F25" s="522" t="s">
        <v>150</v>
      </c>
      <c r="G25" s="522"/>
      <c r="H25" s="522" t="s">
        <v>150</v>
      </c>
      <c r="I25" s="522"/>
      <c r="J25" s="522" t="s">
        <v>175</v>
      </c>
      <c r="K25" s="522"/>
      <c r="L25" s="522" t="s">
        <v>175</v>
      </c>
      <c r="M25" s="522"/>
      <c r="N25" s="522" t="s">
        <v>151</v>
      </c>
      <c r="O25" s="522"/>
      <c r="P25" s="522" t="s">
        <v>151</v>
      </c>
      <c r="Q25" s="525"/>
      <c r="R25" s="522"/>
      <c r="S25" s="521"/>
      <c r="T25" s="521"/>
      <c r="U25" s="523"/>
      <c r="V25" s="506"/>
    </row>
    <row r="26" spans="1:22" s="507" customFormat="1" x14ac:dyDescent="0.35">
      <c r="A26" s="524"/>
      <c r="B26" s="526" t="s">
        <v>9</v>
      </c>
      <c r="C26" s="525"/>
      <c r="D26" s="525" t="s">
        <v>148</v>
      </c>
      <c r="E26" s="525"/>
      <c r="F26" s="525" t="s">
        <v>148</v>
      </c>
      <c r="G26" s="525"/>
      <c r="H26" s="525" t="s">
        <v>148</v>
      </c>
      <c r="I26" s="525"/>
      <c r="J26" s="525" t="s">
        <v>198</v>
      </c>
      <c r="K26" s="525"/>
      <c r="L26" s="525" t="s">
        <v>198</v>
      </c>
      <c r="M26" s="525"/>
      <c r="N26" s="525" t="s">
        <v>149</v>
      </c>
      <c r="O26" s="525"/>
      <c r="P26" s="525" t="s">
        <v>149</v>
      </c>
      <c r="Q26" s="525"/>
      <c r="R26" s="522"/>
      <c r="S26" s="521"/>
      <c r="T26" s="521"/>
      <c r="U26" s="523"/>
      <c r="V26" s="506"/>
    </row>
    <row r="27" spans="1:22" s="507" customFormat="1" x14ac:dyDescent="0.35">
      <c r="A27" s="520"/>
      <c r="B27" s="526" t="s">
        <v>224</v>
      </c>
      <c r="C27" s="522"/>
      <c r="D27" s="525" t="s">
        <v>175</v>
      </c>
      <c r="E27" s="525"/>
      <c r="F27" s="525" t="s">
        <v>175</v>
      </c>
      <c r="G27" s="525"/>
      <c r="H27" s="525" t="s">
        <v>175</v>
      </c>
      <c r="I27" s="525"/>
      <c r="J27" s="525" t="s">
        <v>175</v>
      </c>
      <c r="K27" s="525"/>
      <c r="L27" s="525" t="s">
        <v>175</v>
      </c>
      <c r="M27" s="525"/>
      <c r="N27" s="525" t="s">
        <v>320</v>
      </c>
      <c r="O27" s="525"/>
      <c r="P27" s="525" t="s">
        <v>320</v>
      </c>
      <c r="Q27" s="522"/>
      <c r="R27" s="527"/>
      <c r="S27" s="521"/>
      <c r="T27" s="521"/>
      <c r="U27" s="523"/>
      <c r="V27" s="506"/>
    </row>
    <row r="28" spans="1:22" s="507" customFormat="1" x14ac:dyDescent="0.35">
      <c r="A28" s="520"/>
      <c r="B28" s="526" t="s">
        <v>225</v>
      </c>
      <c r="C28" s="522"/>
      <c r="D28" s="525" t="s">
        <v>150</v>
      </c>
      <c r="E28" s="525"/>
      <c r="F28" s="525" t="s">
        <v>150</v>
      </c>
      <c r="G28" s="525"/>
      <c r="H28" s="525" t="s">
        <v>150</v>
      </c>
      <c r="I28" s="525"/>
      <c r="J28" s="525" t="s">
        <v>150</v>
      </c>
      <c r="K28" s="525"/>
      <c r="L28" s="525" t="s">
        <v>150</v>
      </c>
      <c r="M28" s="525"/>
      <c r="N28" s="525" t="s">
        <v>380</v>
      </c>
      <c r="O28" s="525"/>
      <c r="P28" s="525" t="s">
        <v>380</v>
      </c>
      <c r="Q28" s="522"/>
      <c r="R28" s="527"/>
      <c r="S28" s="521"/>
      <c r="T28" s="521"/>
      <c r="U28" s="523"/>
      <c r="V28" s="506"/>
    </row>
    <row r="29" spans="1:22" s="507" customFormat="1" x14ac:dyDescent="0.35">
      <c r="A29" s="520"/>
      <c r="B29" s="521" t="s">
        <v>10</v>
      </c>
      <c r="C29" s="528"/>
      <c r="D29" s="522" t="s">
        <v>199</v>
      </c>
      <c r="E29" s="522"/>
      <c r="F29" s="527" t="s">
        <v>200</v>
      </c>
      <c r="G29" s="522"/>
      <c r="H29" s="522" t="s">
        <v>201</v>
      </c>
      <c r="I29" s="522"/>
      <c r="J29" s="522" t="s">
        <v>202</v>
      </c>
      <c r="K29" s="522"/>
      <c r="L29" s="522" t="s">
        <v>203</v>
      </c>
      <c r="M29" s="522"/>
      <c r="N29" s="522" t="s">
        <v>204</v>
      </c>
      <c r="O29" s="522"/>
      <c r="P29" s="522" t="s">
        <v>205</v>
      </c>
      <c r="Q29" s="529"/>
      <c r="R29" s="529"/>
      <c r="S29" s="528"/>
      <c r="T29" s="529"/>
      <c r="U29" s="530"/>
      <c r="V29" s="506"/>
    </row>
    <row r="30" spans="1:22" s="507" customFormat="1" x14ac:dyDescent="0.35">
      <c r="A30" s="520"/>
      <c r="B30" s="521" t="s">
        <v>10</v>
      </c>
      <c r="C30" s="528"/>
      <c r="D30" s="522" t="s">
        <v>206</v>
      </c>
      <c r="E30" s="522"/>
      <c r="F30" s="527" t="s">
        <v>125</v>
      </c>
      <c r="G30" s="522"/>
      <c r="H30" s="522" t="s">
        <v>125</v>
      </c>
      <c r="I30" s="522"/>
      <c r="J30" s="522" t="s">
        <v>125</v>
      </c>
      <c r="K30" s="522"/>
      <c r="L30" s="522" t="s">
        <v>125</v>
      </c>
      <c r="M30" s="522"/>
      <c r="N30" s="522" t="s">
        <v>125</v>
      </c>
      <c r="O30" s="522"/>
      <c r="P30" s="522" t="s">
        <v>125</v>
      </c>
      <c r="Q30" s="529"/>
      <c r="R30" s="529"/>
      <c r="S30" s="528"/>
      <c r="T30" s="529"/>
      <c r="U30" s="530"/>
      <c r="V30" s="506"/>
    </row>
    <row r="31" spans="1:22" s="507" customFormat="1" x14ac:dyDescent="0.35">
      <c r="A31" s="524"/>
      <c r="B31" s="521" t="s">
        <v>140</v>
      </c>
      <c r="C31" s="531"/>
      <c r="D31" s="532">
        <v>1100000</v>
      </c>
      <c r="E31" s="528"/>
      <c r="F31" s="529">
        <v>105000</v>
      </c>
      <c r="G31" s="529"/>
      <c r="H31" s="533">
        <v>222000</v>
      </c>
      <c r="I31" s="529"/>
      <c r="J31" s="529">
        <v>31000</v>
      </c>
      <c r="K31" s="529"/>
      <c r="L31" s="533">
        <v>19500</v>
      </c>
      <c r="M31" s="529"/>
      <c r="N31" s="534">
        <v>51500</v>
      </c>
      <c r="O31" s="529"/>
      <c r="P31" s="533">
        <v>27500</v>
      </c>
      <c r="Q31" s="535"/>
      <c r="R31" s="535"/>
      <c r="S31" s="531"/>
      <c r="T31" s="535"/>
      <c r="U31" s="530"/>
      <c r="V31" s="506"/>
    </row>
    <row r="32" spans="1:22" s="507" customFormat="1" x14ac:dyDescent="0.35">
      <c r="A32" s="520"/>
      <c r="B32" s="521" t="s">
        <v>139</v>
      </c>
      <c r="C32" s="528"/>
      <c r="D32" s="529">
        <f>D34*D38</f>
        <v>0</v>
      </c>
      <c r="E32" s="528"/>
      <c r="F32" s="529">
        <f>F31*F38</f>
        <v>97652.183999999994</v>
      </c>
      <c r="G32" s="529"/>
      <c r="H32" s="533">
        <f>H31*H38</f>
        <v>206464.6176</v>
      </c>
      <c r="I32" s="529"/>
      <c r="J32" s="529">
        <f>J31*J38</f>
        <v>19111.456600000001</v>
      </c>
      <c r="K32" s="529"/>
      <c r="L32" s="533">
        <f>L31*L38</f>
        <v>12021.7227</v>
      </c>
      <c r="M32" s="529"/>
      <c r="N32" s="534">
        <f>N31*N38</f>
        <v>31749.677899999999</v>
      </c>
      <c r="O32" s="529"/>
      <c r="P32" s="533">
        <f>P31*P38</f>
        <v>16953.711500000001</v>
      </c>
      <c r="Q32" s="529"/>
      <c r="R32" s="529"/>
      <c r="S32" s="528"/>
      <c r="T32" s="529"/>
      <c r="U32" s="530"/>
      <c r="V32" s="506"/>
    </row>
    <row r="33" spans="1:26" s="507" customFormat="1" x14ac:dyDescent="0.35">
      <c r="A33" s="520"/>
      <c r="B33" s="526" t="s">
        <v>141</v>
      </c>
      <c r="C33" s="528"/>
      <c r="D33" s="536">
        <f>D34*D37</f>
        <v>0</v>
      </c>
      <c r="E33" s="531"/>
      <c r="F33" s="535">
        <f>F37*F31</f>
        <v>0</v>
      </c>
      <c r="G33" s="535"/>
      <c r="H33" s="537">
        <f>H31*H37</f>
        <v>0</v>
      </c>
      <c r="I33" s="535"/>
      <c r="J33" s="535">
        <f>J31*J37</f>
        <v>0</v>
      </c>
      <c r="K33" s="535"/>
      <c r="L33" s="537">
        <f>L31*L37</f>
        <v>0</v>
      </c>
      <c r="M33" s="535"/>
      <c r="N33" s="535">
        <f>N31*N37</f>
        <v>0</v>
      </c>
      <c r="O33" s="535"/>
      <c r="P33" s="537">
        <f>P31*P37</f>
        <v>0</v>
      </c>
      <c r="Q33" s="529"/>
      <c r="R33" s="529"/>
      <c r="S33" s="528"/>
      <c r="T33" s="529"/>
      <c r="U33" s="530"/>
      <c r="V33" s="506"/>
    </row>
    <row r="34" spans="1:26" s="507" customFormat="1" x14ac:dyDescent="0.35">
      <c r="A34" s="524"/>
      <c r="B34" s="521" t="s">
        <v>296</v>
      </c>
      <c r="C34" s="531"/>
      <c r="D34" s="529">
        <v>631096</v>
      </c>
      <c r="E34" s="528"/>
      <c r="F34" s="529">
        <v>105000</v>
      </c>
      <c r="G34" s="529"/>
      <c r="H34" s="529">
        <v>150000</v>
      </c>
      <c r="I34" s="529"/>
      <c r="J34" s="529">
        <v>31000</v>
      </c>
      <c r="K34" s="529"/>
      <c r="L34" s="529">
        <v>13176</v>
      </c>
      <c r="M34" s="529"/>
      <c r="N34" s="529">
        <v>51500</v>
      </c>
      <c r="O34" s="529"/>
      <c r="P34" s="529">
        <v>18581</v>
      </c>
      <c r="Q34" s="535"/>
      <c r="R34" s="535"/>
      <c r="S34" s="531"/>
      <c r="T34" s="529">
        <f>SUM(C34:P34)</f>
        <v>1000353</v>
      </c>
      <c r="U34" s="530"/>
      <c r="V34" s="506"/>
      <c r="X34" s="538"/>
      <c r="Z34" s="538"/>
    </row>
    <row r="35" spans="1:26" s="507" customFormat="1" x14ac:dyDescent="0.35">
      <c r="A35" s="524"/>
      <c r="B35" s="521" t="s">
        <v>297</v>
      </c>
      <c r="C35" s="531"/>
      <c r="D35" s="529">
        <f>D34*D38</f>
        <v>0</v>
      </c>
      <c r="E35" s="528"/>
      <c r="F35" s="529">
        <f>F34*F38</f>
        <v>97652.183999999994</v>
      </c>
      <c r="G35" s="529"/>
      <c r="H35" s="529">
        <f>H34*H38</f>
        <v>139503.12</v>
      </c>
      <c r="I35" s="529"/>
      <c r="J35" s="529">
        <f>J32</f>
        <v>19111.456600000001</v>
      </c>
      <c r="K35" s="529"/>
      <c r="L35" s="529">
        <f>L34*L38</f>
        <v>8122.9855536000005</v>
      </c>
      <c r="M35" s="529"/>
      <c r="N35" s="529">
        <f>N32</f>
        <v>31749.677899999999</v>
      </c>
      <c r="O35" s="529"/>
      <c r="P35" s="529">
        <f>P34*P38</f>
        <v>11455.1604866</v>
      </c>
      <c r="Q35" s="529"/>
      <c r="R35" s="529"/>
      <c r="S35" s="528"/>
      <c r="T35" s="529">
        <f>SUM(C35:P35)</f>
        <v>307594.58454020001</v>
      </c>
      <c r="U35" s="530"/>
      <c r="V35" s="506"/>
      <c r="X35" s="538"/>
      <c r="Z35" s="538"/>
    </row>
    <row r="36" spans="1:26" s="507" customFormat="1" x14ac:dyDescent="0.35">
      <c r="A36" s="524"/>
      <c r="B36" s="526" t="s">
        <v>298</v>
      </c>
      <c r="C36" s="531"/>
      <c r="D36" s="535">
        <f>D37*D34</f>
        <v>0</v>
      </c>
      <c r="E36" s="531"/>
      <c r="F36" s="535">
        <f>F37*F34</f>
        <v>0</v>
      </c>
      <c r="G36" s="535"/>
      <c r="H36" s="535">
        <f>H37*H34</f>
        <v>0</v>
      </c>
      <c r="I36" s="535"/>
      <c r="J36" s="535">
        <f>J37*J34</f>
        <v>0</v>
      </c>
      <c r="K36" s="535"/>
      <c r="L36" s="535">
        <f>L37*L34</f>
        <v>0</v>
      </c>
      <c r="M36" s="535"/>
      <c r="N36" s="535">
        <f>N37*N34</f>
        <v>0</v>
      </c>
      <c r="O36" s="535"/>
      <c r="P36" s="535">
        <f>P34*P37</f>
        <v>0</v>
      </c>
      <c r="Q36" s="539"/>
      <c r="R36" s="539"/>
      <c r="S36" s="528"/>
      <c r="T36" s="535">
        <f>SUM(C36:P36)</f>
        <v>0</v>
      </c>
      <c r="U36" s="530"/>
      <c r="V36" s="506"/>
      <c r="X36" s="538"/>
      <c r="Z36" s="538"/>
    </row>
    <row r="37" spans="1:26" s="491" customFormat="1" x14ac:dyDescent="0.35">
      <c r="A37" s="492"/>
      <c r="B37" s="479" t="s">
        <v>137</v>
      </c>
      <c r="C37" s="493"/>
      <c r="D37" s="494">
        <v>0</v>
      </c>
      <c r="E37" s="495"/>
      <c r="F37" s="494">
        <v>0</v>
      </c>
      <c r="G37" s="494"/>
      <c r="H37" s="494">
        <v>0</v>
      </c>
      <c r="I37" s="494"/>
      <c r="J37" s="494">
        <v>0</v>
      </c>
      <c r="K37" s="494"/>
      <c r="L37" s="494">
        <v>0</v>
      </c>
      <c r="M37" s="494"/>
      <c r="N37" s="494">
        <v>0</v>
      </c>
      <c r="O37" s="494"/>
      <c r="P37" s="494">
        <v>0</v>
      </c>
      <c r="Q37" s="496"/>
      <c r="R37" s="496"/>
      <c r="S37" s="493"/>
      <c r="T37" s="493"/>
      <c r="U37" s="497"/>
      <c r="V37" s="490"/>
    </row>
    <row r="38" spans="1:26" s="491" customFormat="1" x14ac:dyDescent="0.35">
      <c r="A38" s="492"/>
      <c r="B38" s="479" t="s">
        <v>138</v>
      </c>
      <c r="C38" s="493"/>
      <c r="D38" s="494">
        <v>0</v>
      </c>
      <c r="E38" s="495"/>
      <c r="F38" s="494">
        <v>0.93002079999999998</v>
      </c>
      <c r="G38" s="494"/>
      <c r="H38" s="494">
        <v>0.93002079999999998</v>
      </c>
      <c r="I38" s="494"/>
      <c r="J38" s="494">
        <v>0.61649860000000001</v>
      </c>
      <c r="K38" s="494"/>
      <c r="L38" s="494">
        <v>0.61649860000000001</v>
      </c>
      <c r="M38" s="494"/>
      <c r="N38" s="494">
        <v>0.61649860000000001</v>
      </c>
      <c r="O38" s="494"/>
      <c r="P38" s="494">
        <v>0.61649860000000001</v>
      </c>
      <c r="Q38" s="498"/>
      <c r="R38" s="499"/>
      <c r="S38" s="493"/>
      <c r="T38" s="498"/>
      <c r="U38" s="497"/>
      <c r="V38" s="490"/>
    </row>
    <row r="39" spans="1:26" s="507" customFormat="1" x14ac:dyDescent="0.35">
      <c r="A39" s="520"/>
      <c r="B39" s="521" t="s">
        <v>11</v>
      </c>
      <c r="C39" s="521"/>
      <c r="D39" s="527" t="s">
        <v>283</v>
      </c>
      <c r="E39" s="521"/>
      <c r="F39" s="527" t="s">
        <v>179</v>
      </c>
      <c r="G39" s="527"/>
      <c r="H39" s="527" t="s">
        <v>179</v>
      </c>
      <c r="I39" s="527"/>
      <c r="J39" s="527" t="s">
        <v>210</v>
      </c>
      <c r="K39" s="527"/>
      <c r="L39" s="527" t="s">
        <v>210</v>
      </c>
      <c r="M39" s="527"/>
      <c r="N39" s="527" t="s">
        <v>211</v>
      </c>
      <c r="O39" s="527"/>
      <c r="P39" s="527" t="s">
        <v>211</v>
      </c>
      <c r="Q39" s="540"/>
      <c r="R39" s="541"/>
      <c r="S39" s="521"/>
      <c r="T39" s="521"/>
      <c r="U39" s="523"/>
      <c r="V39" s="506"/>
    </row>
    <row r="40" spans="1:26" s="507" customFormat="1" x14ac:dyDescent="0.35">
      <c r="A40" s="520"/>
      <c r="B40" s="521" t="s">
        <v>12</v>
      </c>
      <c r="C40" s="521"/>
      <c r="D40" s="541">
        <v>0</v>
      </c>
      <c r="E40" s="521"/>
      <c r="F40" s="541">
        <v>5.1324999999999999E-3</v>
      </c>
      <c r="G40" s="540"/>
      <c r="H40" s="541">
        <v>0</v>
      </c>
      <c r="I40" s="540"/>
      <c r="J40" s="541">
        <v>7.3324999999999996E-3</v>
      </c>
      <c r="K40" s="540"/>
      <c r="L40" s="541">
        <v>1.82E-3</v>
      </c>
      <c r="M40" s="540"/>
      <c r="N40" s="541">
        <v>1.29325E-2</v>
      </c>
      <c r="O40" s="540"/>
      <c r="P40" s="541">
        <v>7.4200000000000004E-3</v>
      </c>
      <c r="Q40" s="540"/>
      <c r="R40" s="541"/>
      <c r="S40" s="521"/>
      <c r="T40" s="527"/>
      <c r="U40" s="523"/>
      <c r="V40" s="506"/>
    </row>
    <row r="41" spans="1:26" s="507" customFormat="1" x14ac:dyDescent="0.35">
      <c r="A41" s="520"/>
      <c r="B41" s="521" t="s">
        <v>13</v>
      </c>
      <c r="C41" s="521"/>
      <c r="D41" s="541">
        <v>0</v>
      </c>
      <c r="E41" s="521"/>
      <c r="F41" s="541">
        <v>8.0675E-3</v>
      </c>
      <c r="G41" s="540"/>
      <c r="H41" s="541">
        <v>0</v>
      </c>
      <c r="I41" s="540"/>
      <c r="J41" s="541">
        <v>1.0267500000000001E-2</v>
      </c>
      <c r="K41" s="540"/>
      <c r="L41" s="541">
        <v>5.1000000000000004E-4</v>
      </c>
      <c r="M41" s="540"/>
      <c r="N41" s="541">
        <v>1.58675E-2</v>
      </c>
      <c r="O41" s="540"/>
      <c r="P41" s="541">
        <v>6.11E-3</v>
      </c>
      <c r="Q41" s="540"/>
      <c r="R41" s="541"/>
      <c r="S41" s="521"/>
      <c r="T41" s="540" t="s">
        <v>226</v>
      </c>
      <c r="U41" s="523"/>
      <c r="V41" s="506"/>
    </row>
    <row r="42" spans="1:26" s="507" customFormat="1" x14ac:dyDescent="0.35">
      <c r="A42" s="520"/>
      <c r="B42" s="521" t="s">
        <v>299</v>
      </c>
      <c r="C42" s="521"/>
      <c r="D42" s="527" t="s">
        <v>283</v>
      </c>
      <c r="E42" s="521"/>
      <c r="F42" s="527" t="s">
        <v>179</v>
      </c>
      <c r="G42" s="527"/>
      <c r="H42" s="527" t="s">
        <v>239</v>
      </c>
      <c r="I42" s="527"/>
      <c r="J42" s="527" t="s">
        <v>210</v>
      </c>
      <c r="K42" s="527"/>
      <c r="L42" s="527" t="s">
        <v>236</v>
      </c>
      <c r="M42" s="527"/>
      <c r="N42" s="527" t="s">
        <v>211</v>
      </c>
      <c r="O42" s="527"/>
      <c r="P42" s="527" t="s">
        <v>240</v>
      </c>
      <c r="Q42" s="540"/>
      <c r="R42" s="541"/>
      <c r="S42" s="521"/>
      <c r="T42" s="521"/>
      <c r="U42" s="523"/>
      <c r="V42" s="506"/>
    </row>
    <row r="43" spans="1:26" s="507" customFormat="1" x14ac:dyDescent="0.35">
      <c r="A43" s="520"/>
      <c r="B43" s="521" t="s">
        <v>300</v>
      </c>
      <c r="C43" s="542"/>
      <c r="D43" s="541">
        <f>+D40</f>
        <v>0</v>
      </c>
      <c r="E43" s="521"/>
      <c r="F43" s="541">
        <f>+F40</f>
        <v>5.1324999999999999E-3</v>
      </c>
      <c r="G43" s="540"/>
      <c r="H43" s="541">
        <v>5.5824999999999998E-3</v>
      </c>
      <c r="I43" s="540"/>
      <c r="J43" s="541">
        <f>+J40</f>
        <v>7.3324999999999996E-3</v>
      </c>
      <c r="K43" s="540"/>
      <c r="L43" s="541">
        <v>8.0625000000000002E-3</v>
      </c>
      <c r="M43" s="540"/>
      <c r="N43" s="541">
        <f>+N40</f>
        <v>1.29325E-2</v>
      </c>
      <c r="O43" s="540"/>
      <c r="P43" s="541">
        <v>1.41625E-2</v>
      </c>
      <c r="Q43" s="527"/>
      <c r="R43" s="527"/>
      <c r="S43" s="521"/>
      <c r="T43" s="540">
        <f>SUMPRODUCT(D43:P43,D35:P35)/T35</f>
        <v>6.692051328652705E-3</v>
      </c>
      <c r="U43" s="523"/>
      <c r="V43" s="506"/>
    </row>
    <row r="44" spans="1:26" s="507" customFormat="1" x14ac:dyDescent="0.35">
      <c r="A44" s="520"/>
      <c r="B44" s="521" t="s">
        <v>301</v>
      </c>
      <c r="C44" s="542"/>
      <c r="D44" s="541">
        <f>+D41</f>
        <v>0</v>
      </c>
      <c r="E44" s="521"/>
      <c r="F44" s="541">
        <f>+F41</f>
        <v>8.0675E-3</v>
      </c>
      <c r="G44" s="540"/>
      <c r="H44" s="541">
        <v>8.5175000000000008E-3</v>
      </c>
      <c r="I44" s="540"/>
      <c r="J44" s="541">
        <f>+J41</f>
        <v>1.0267500000000001E-2</v>
      </c>
      <c r="K44" s="540"/>
      <c r="L44" s="541">
        <v>1.09975E-2</v>
      </c>
      <c r="M44" s="540"/>
      <c r="N44" s="541">
        <f>+N41</f>
        <v>1.58675E-2</v>
      </c>
      <c r="O44" s="540"/>
      <c r="P44" s="541">
        <v>1.7097500000000002E-2</v>
      </c>
      <c r="Q44" s="527"/>
      <c r="R44" s="527"/>
      <c r="S44" s="521"/>
      <c r="T44" s="521"/>
      <c r="U44" s="523"/>
      <c r="V44" s="506"/>
    </row>
    <row r="45" spans="1:26" s="507" customFormat="1" x14ac:dyDescent="0.35">
      <c r="A45" s="520"/>
      <c r="B45" s="521" t="s">
        <v>14</v>
      </c>
      <c r="C45" s="521"/>
      <c r="D45" s="542">
        <v>40162</v>
      </c>
      <c r="E45" s="542"/>
      <c r="F45" s="542">
        <v>40162</v>
      </c>
      <c r="G45" s="542"/>
      <c r="H45" s="542">
        <v>40162</v>
      </c>
      <c r="I45" s="542"/>
      <c r="J45" s="542">
        <v>40162</v>
      </c>
      <c r="K45" s="542"/>
      <c r="L45" s="542">
        <v>40162</v>
      </c>
      <c r="M45" s="542"/>
      <c r="N45" s="542">
        <v>40162</v>
      </c>
      <c r="O45" s="542"/>
      <c r="P45" s="542">
        <v>40162</v>
      </c>
      <c r="Q45" s="527"/>
      <c r="R45" s="527"/>
      <c r="S45" s="521"/>
      <c r="T45" s="521"/>
      <c r="U45" s="523"/>
      <c r="V45" s="506"/>
    </row>
    <row r="46" spans="1:26" s="507" customFormat="1" x14ac:dyDescent="0.35">
      <c r="A46" s="520"/>
      <c r="B46" s="521" t="s">
        <v>15</v>
      </c>
      <c r="C46" s="521"/>
      <c r="D46" s="542">
        <v>40527</v>
      </c>
      <c r="E46" s="542"/>
      <c r="F46" s="542">
        <v>40527</v>
      </c>
      <c r="G46" s="542"/>
      <c r="H46" s="542">
        <v>40527</v>
      </c>
      <c r="I46" s="527"/>
      <c r="J46" s="542">
        <v>40527</v>
      </c>
      <c r="K46" s="527"/>
      <c r="L46" s="542">
        <v>40527</v>
      </c>
      <c r="M46" s="527"/>
      <c r="N46" s="542">
        <v>40527</v>
      </c>
      <c r="O46" s="527"/>
      <c r="P46" s="542">
        <v>40527</v>
      </c>
      <c r="Q46" s="527"/>
      <c r="R46" s="527"/>
      <c r="S46" s="521"/>
      <c r="T46" s="521"/>
      <c r="U46" s="523"/>
      <c r="V46" s="506"/>
    </row>
    <row r="47" spans="1:26" s="507" customFormat="1" x14ac:dyDescent="0.35">
      <c r="A47" s="520"/>
      <c r="B47" s="521" t="s">
        <v>126</v>
      </c>
      <c r="C47" s="521"/>
      <c r="D47" s="527" t="s">
        <v>125</v>
      </c>
      <c r="E47" s="521"/>
      <c r="F47" s="527" t="s">
        <v>179</v>
      </c>
      <c r="G47" s="527"/>
      <c r="H47" s="527" t="s">
        <v>179</v>
      </c>
      <c r="I47" s="527"/>
      <c r="J47" s="527" t="s">
        <v>210</v>
      </c>
      <c r="K47" s="527"/>
      <c r="L47" s="527" t="s">
        <v>210</v>
      </c>
      <c r="M47" s="527"/>
      <c r="N47" s="527" t="s">
        <v>211</v>
      </c>
      <c r="O47" s="527"/>
      <c r="P47" s="527" t="s">
        <v>211</v>
      </c>
      <c r="Q47" s="543"/>
      <c r="R47" s="543"/>
      <c r="S47" s="543"/>
      <c r="T47" s="543"/>
      <c r="U47" s="523"/>
      <c r="V47" s="506"/>
    </row>
    <row r="48" spans="1:26" s="507" customFormat="1" x14ac:dyDescent="0.35">
      <c r="A48" s="520"/>
      <c r="B48" s="521" t="s">
        <v>302</v>
      </c>
      <c r="C48" s="521"/>
      <c r="D48" s="527" t="s">
        <v>125</v>
      </c>
      <c r="E48" s="521"/>
      <c r="F48" s="527" t="s">
        <v>179</v>
      </c>
      <c r="G48" s="527"/>
      <c r="H48" s="527" t="s">
        <v>239</v>
      </c>
      <c r="I48" s="527"/>
      <c r="J48" s="527" t="s">
        <v>210</v>
      </c>
      <c r="K48" s="527"/>
      <c r="L48" s="527" t="s">
        <v>236</v>
      </c>
      <c r="M48" s="527"/>
      <c r="N48" s="527" t="s">
        <v>211</v>
      </c>
      <c r="O48" s="527"/>
      <c r="P48" s="527" t="s">
        <v>240</v>
      </c>
      <c r="Q48" s="521"/>
      <c r="R48" s="521"/>
      <c r="S48" s="521"/>
      <c r="T48" s="540"/>
      <c r="U48" s="523"/>
      <c r="V48" s="506"/>
    </row>
    <row r="49" spans="1:23" s="507" customFormat="1" x14ac:dyDescent="0.35">
      <c r="A49" s="520"/>
      <c r="B49" s="521"/>
      <c r="C49" s="521"/>
      <c r="D49" s="527"/>
      <c r="E49" s="521"/>
      <c r="F49" s="527"/>
      <c r="G49" s="527"/>
      <c r="H49" s="527"/>
      <c r="I49" s="527"/>
      <c r="J49" s="527"/>
      <c r="K49" s="527"/>
      <c r="L49" s="527"/>
      <c r="M49" s="527"/>
      <c r="N49" s="527"/>
      <c r="O49" s="527"/>
      <c r="P49" s="527"/>
      <c r="Q49" s="521"/>
      <c r="R49" s="521"/>
      <c r="S49" s="521"/>
      <c r="T49" s="540" t="s">
        <v>226</v>
      </c>
      <c r="U49" s="523"/>
      <c r="V49" s="506"/>
    </row>
    <row r="50" spans="1:23" s="507" customFormat="1" x14ac:dyDescent="0.35">
      <c r="A50" s="520"/>
      <c r="B50" s="521" t="s">
        <v>180</v>
      </c>
      <c r="C50" s="521"/>
      <c r="D50" s="527"/>
      <c r="E50" s="521"/>
      <c r="F50" s="527"/>
      <c r="G50" s="527"/>
      <c r="H50" s="527"/>
      <c r="I50" s="527"/>
      <c r="J50" s="527"/>
      <c r="K50" s="527"/>
      <c r="L50" s="527"/>
      <c r="M50" s="527"/>
      <c r="N50" s="527"/>
      <c r="O50" s="527"/>
      <c r="P50" s="527"/>
      <c r="Q50" s="521"/>
      <c r="R50" s="521"/>
      <c r="S50" s="521"/>
      <c r="T50" s="540">
        <f>SUM(J34:P34)/SUM(D34:H34)</f>
        <v>0.12894426788970947</v>
      </c>
      <c r="U50" s="523"/>
      <c r="V50" s="506"/>
    </row>
    <row r="51" spans="1:23" s="507" customFormat="1" x14ac:dyDescent="0.35">
      <c r="A51" s="520"/>
      <c r="B51" s="521" t="s">
        <v>181</v>
      </c>
      <c r="C51" s="521"/>
      <c r="D51" s="521"/>
      <c r="E51" s="521"/>
      <c r="F51" s="544"/>
      <c r="G51" s="521"/>
      <c r="H51" s="521"/>
      <c r="I51" s="521"/>
      <c r="J51" s="521"/>
      <c r="K51" s="521"/>
      <c r="L51" s="521"/>
      <c r="M51" s="521"/>
      <c r="N51" s="521"/>
      <c r="O51" s="521"/>
      <c r="P51" s="521"/>
      <c r="Q51" s="521"/>
      <c r="R51" s="521"/>
      <c r="S51" s="521"/>
      <c r="T51" s="540" t="s">
        <v>114</v>
      </c>
      <c r="U51" s="523"/>
      <c r="V51" s="506"/>
    </row>
    <row r="52" spans="1:23" s="507" customFormat="1" x14ac:dyDescent="0.35">
      <c r="A52" s="520"/>
      <c r="B52" s="521" t="s">
        <v>182</v>
      </c>
      <c r="C52" s="521"/>
      <c r="D52" s="521"/>
      <c r="E52" s="521"/>
      <c r="F52" s="521"/>
      <c r="G52" s="521"/>
      <c r="H52" s="521"/>
      <c r="I52" s="521"/>
      <c r="J52" s="521"/>
      <c r="K52" s="521"/>
      <c r="L52" s="521"/>
      <c r="M52" s="521"/>
      <c r="N52" s="521"/>
      <c r="O52" s="521"/>
      <c r="P52" s="521"/>
      <c r="Q52" s="521"/>
      <c r="R52" s="527" t="s">
        <v>110</v>
      </c>
      <c r="S52" s="527" t="s">
        <v>116</v>
      </c>
      <c r="T52" s="545">
        <f>+T34/2-SUM(J34:P34)</f>
        <v>385919.5</v>
      </c>
      <c r="U52" s="523"/>
      <c r="V52" s="506"/>
    </row>
    <row r="53" spans="1:23" s="507" customFormat="1" x14ac:dyDescent="0.35">
      <c r="A53" s="520"/>
      <c r="B53" s="521"/>
      <c r="C53" s="521"/>
      <c r="D53" s="521"/>
      <c r="E53" s="521"/>
      <c r="F53" s="521"/>
      <c r="G53" s="521"/>
      <c r="H53" s="521"/>
      <c r="I53" s="521"/>
      <c r="J53" s="521"/>
      <c r="K53" s="521"/>
      <c r="L53" s="521"/>
      <c r="M53" s="521"/>
      <c r="N53" s="521"/>
      <c r="O53" s="521"/>
      <c r="P53" s="521"/>
      <c r="Q53" s="521"/>
      <c r="R53" s="521" t="s">
        <v>291</v>
      </c>
      <c r="S53" s="521"/>
      <c r="T53" s="546"/>
      <c r="U53" s="523"/>
      <c r="V53" s="506"/>
    </row>
    <row r="54" spans="1:23" s="507" customFormat="1" x14ac:dyDescent="0.35">
      <c r="A54" s="520"/>
      <c r="B54" s="521" t="s">
        <v>349</v>
      </c>
      <c r="C54" s="521"/>
      <c r="D54" s="521"/>
      <c r="E54" s="521"/>
      <c r="F54" s="521"/>
      <c r="G54" s="521"/>
      <c r="H54" s="521"/>
      <c r="I54" s="521"/>
      <c r="J54" s="521"/>
      <c r="K54" s="521"/>
      <c r="L54" s="521"/>
      <c r="M54" s="521"/>
      <c r="N54" s="521"/>
      <c r="O54" s="521"/>
      <c r="P54" s="521"/>
      <c r="Q54" s="521"/>
      <c r="R54" s="527"/>
      <c r="S54" s="527"/>
      <c r="T54" s="547" t="s">
        <v>118</v>
      </c>
      <c r="U54" s="523"/>
      <c r="V54" s="506"/>
    </row>
    <row r="55" spans="1:23" s="507" customFormat="1" x14ac:dyDescent="0.35">
      <c r="A55" s="520"/>
      <c r="B55" s="526" t="s">
        <v>242</v>
      </c>
      <c r="C55" s="526"/>
      <c r="D55" s="526"/>
      <c r="E55" s="526"/>
      <c r="F55" s="526"/>
      <c r="G55" s="526"/>
      <c r="H55" s="526"/>
      <c r="I55" s="526"/>
      <c r="J55" s="526"/>
      <c r="K55" s="526"/>
      <c r="L55" s="526"/>
      <c r="M55" s="526"/>
      <c r="N55" s="526"/>
      <c r="O55" s="526"/>
      <c r="P55" s="526"/>
      <c r="Q55" s="526"/>
      <c r="R55" s="548"/>
      <c r="S55" s="548"/>
      <c r="T55" s="549">
        <v>44089</v>
      </c>
      <c r="U55" s="523"/>
      <c r="V55" s="506"/>
    </row>
    <row r="56" spans="1:23" s="507" customFormat="1" x14ac:dyDescent="0.35">
      <c r="A56" s="520"/>
      <c r="B56" s="521" t="s">
        <v>128</v>
      </c>
      <c r="C56" s="521"/>
      <c r="D56" s="521"/>
      <c r="E56" s="521"/>
      <c r="F56" s="521"/>
      <c r="G56" s="521"/>
      <c r="H56" s="550"/>
      <c r="I56" s="550"/>
      <c r="J56" s="550"/>
      <c r="K56" s="550"/>
      <c r="L56" s="550"/>
      <c r="M56" s="550"/>
      <c r="N56" s="550"/>
      <c r="O56" s="550"/>
      <c r="P56" s="521">
        <f>+T56-R56+1</f>
        <v>91</v>
      </c>
      <c r="Q56" s="521"/>
      <c r="R56" s="551">
        <v>43906</v>
      </c>
      <c r="S56" s="552"/>
      <c r="T56" s="551">
        <v>43996</v>
      </c>
      <c r="U56" s="523"/>
      <c r="V56" s="506"/>
    </row>
    <row r="57" spans="1:23" s="507" customFormat="1" x14ac:dyDescent="0.35">
      <c r="A57" s="520"/>
      <c r="B57" s="521" t="s">
        <v>129</v>
      </c>
      <c r="C57" s="521"/>
      <c r="D57" s="521"/>
      <c r="E57" s="521"/>
      <c r="F57" s="521"/>
      <c r="G57" s="521"/>
      <c r="H57" s="521"/>
      <c r="I57" s="521"/>
      <c r="J57" s="521"/>
      <c r="K57" s="521"/>
      <c r="L57" s="521"/>
      <c r="M57" s="521"/>
      <c r="N57" s="521"/>
      <c r="O57" s="521"/>
      <c r="P57" s="521">
        <f>+T57-R57+1</f>
        <v>92</v>
      </c>
      <c r="Q57" s="521"/>
      <c r="R57" s="551">
        <v>43997</v>
      </c>
      <c r="S57" s="552"/>
      <c r="T57" s="551">
        <v>44088</v>
      </c>
      <c r="U57" s="523"/>
      <c r="V57" s="506"/>
    </row>
    <row r="58" spans="1:23" s="507" customFormat="1" x14ac:dyDescent="0.35">
      <c r="A58" s="520"/>
      <c r="B58" s="521" t="s">
        <v>351</v>
      </c>
      <c r="C58" s="521"/>
      <c r="D58" s="521"/>
      <c r="E58" s="521"/>
      <c r="F58" s="521"/>
      <c r="G58" s="521"/>
      <c r="H58" s="521"/>
      <c r="I58" s="521"/>
      <c r="J58" s="521"/>
      <c r="K58" s="521"/>
      <c r="L58" s="521"/>
      <c r="M58" s="521"/>
      <c r="N58" s="521"/>
      <c r="O58" s="521"/>
      <c r="P58" s="521"/>
      <c r="Q58" s="521"/>
      <c r="R58" s="551"/>
      <c r="S58" s="552"/>
      <c r="T58" s="551" t="s">
        <v>127</v>
      </c>
      <c r="U58" s="523"/>
      <c r="V58" s="506"/>
    </row>
    <row r="59" spans="1:23" s="507" customFormat="1" x14ac:dyDescent="0.35">
      <c r="A59" s="520"/>
      <c r="B59" s="521" t="s">
        <v>350</v>
      </c>
      <c r="C59" s="521"/>
      <c r="D59" s="521"/>
      <c r="E59" s="521"/>
      <c r="F59" s="521"/>
      <c r="G59" s="521"/>
      <c r="H59" s="521"/>
      <c r="I59" s="521"/>
      <c r="J59" s="521"/>
      <c r="K59" s="521"/>
      <c r="L59" s="521"/>
      <c r="M59" s="521"/>
      <c r="N59" s="521"/>
      <c r="O59" s="521"/>
      <c r="P59" s="521"/>
      <c r="Q59" s="521"/>
      <c r="R59" s="551"/>
      <c r="S59" s="552"/>
      <c r="T59" s="551" t="s">
        <v>162</v>
      </c>
      <c r="U59" s="523"/>
      <c r="V59" s="506"/>
      <c r="W59" s="553"/>
    </row>
    <row r="60" spans="1:23" s="507" customFormat="1" x14ac:dyDescent="0.35">
      <c r="A60" s="520"/>
      <c r="B60" s="521" t="s">
        <v>16</v>
      </c>
      <c r="C60" s="521"/>
      <c r="D60" s="521"/>
      <c r="E60" s="521"/>
      <c r="F60" s="521"/>
      <c r="G60" s="521"/>
      <c r="H60" s="521"/>
      <c r="I60" s="521"/>
      <c r="J60" s="521"/>
      <c r="K60" s="521"/>
      <c r="L60" s="521"/>
      <c r="M60" s="521"/>
      <c r="N60" s="521"/>
      <c r="O60" s="521"/>
      <c r="P60" s="521"/>
      <c r="Q60" s="521"/>
      <c r="R60" s="551"/>
      <c r="S60" s="552"/>
      <c r="T60" s="551">
        <v>44075</v>
      </c>
      <c r="U60" s="523"/>
      <c r="V60" s="506"/>
    </row>
    <row r="61" spans="1:23" s="507" customFormat="1" x14ac:dyDescent="0.35">
      <c r="A61" s="508"/>
      <c r="B61" s="554"/>
      <c r="C61" s="554"/>
      <c r="D61" s="554"/>
      <c r="E61" s="554"/>
      <c r="F61" s="554"/>
      <c r="G61" s="554"/>
      <c r="H61" s="554"/>
      <c r="I61" s="554"/>
      <c r="J61" s="554"/>
      <c r="K61" s="554"/>
      <c r="L61" s="554"/>
      <c r="M61" s="554"/>
      <c r="N61" s="554"/>
      <c r="O61" s="554"/>
      <c r="P61" s="554"/>
      <c r="Q61" s="554"/>
      <c r="R61" s="555"/>
      <c r="S61" s="556"/>
      <c r="T61" s="555"/>
      <c r="U61" s="554"/>
      <c r="V61" s="506"/>
    </row>
    <row r="62" spans="1:23" s="507" customFormat="1" x14ac:dyDescent="0.35">
      <c r="A62" s="508"/>
      <c r="B62" s="509"/>
      <c r="C62" s="509"/>
      <c r="D62" s="509"/>
      <c r="E62" s="509"/>
      <c r="F62" s="509"/>
      <c r="G62" s="509"/>
      <c r="H62" s="509"/>
      <c r="I62" s="509"/>
      <c r="J62" s="509"/>
      <c r="K62" s="509"/>
      <c r="L62" s="509"/>
      <c r="M62" s="509"/>
      <c r="N62" s="509"/>
      <c r="O62" s="509"/>
      <c r="P62" s="509"/>
      <c r="Q62" s="509"/>
      <c r="R62" s="557"/>
      <c r="S62" s="558"/>
      <c r="T62" s="557"/>
      <c r="U62" s="509"/>
      <c r="V62" s="506"/>
    </row>
    <row r="63" spans="1:23" s="507" customFormat="1" ht="19" thickBot="1" x14ac:dyDescent="0.5">
      <c r="A63" s="559"/>
      <c r="B63" s="560" t="s">
        <v>404</v>
      </c>
      <c r="C63" s="561"/>
      <c r="D63" s="561"/>
      <c r="E63" s="561"/>
      <c r="F63" s="561"/>
      <c r="G63" s="561"/>
      <c r="H63" s="561"/>
      <c r="I63" s="561"/>
      <c r="J63" s="561"/>
      <c r="K63" s="561"/>
      <c r="L63" s="561"/>
      <c r="M63" s="561"/>
      <c r="N63" s="561"/>
      <c r="O63" s="561"/>
      <c r="P63" s="561"/>
      <c r="Q63" s="561"/>
      <c r="R63" s="561"/>
      <c r="S63" s="561"/>
      <c r="T63" s="562"/>
      <c r="U63" s="563"/>
      <c r="V63" s="506"/>
    </row>
    <row r="64" spans="1:23" x14ac:dyDescent="0.35">
      <c r="A64" s="599"/>
      <c r="B64" s="603" t="s">
        <v>17</v>
      </c>
      <c r="C64" s="600"/>
      <c r="D64" s="600"/>
      <c r="E64" s="600"/>
      <c r="F64" s="600"/>
      <c r="G64" s="600"/>
      <c r="H64" s="600"/>
      <c r="I64" s="600"/>
      <c r="J64" s="600"/>
      <c r="K64" s="600"/>
      <c r="L64" s="600"/>
      <c r="M64" s="600"/>
      <c r="N64" s="600"/>
      <c r="O64" s="600"/>
      <c r="P64" s="600"/>
      <c r="Q64" s="600"/>
      <c r="R64" s="600"/>
      <c r="S64" s="600"/>
      <c r="T64" s="604"/>
      <c r="U64" s="600"/>
      <c r="V64" s="405"/>
    </row>
    <row r="65" spans="1:22" x14ac:dyDescent="0.35">
      <c r="A65" s="407"/>
      <c r="B65" s="413"/>
      <c r="C65" s="409"/>
      <c r="D65" s="409"/>
      <c r="E65" s="409"/>
      <c r="F65" s="409"/>
      <c r="G65" s="409"/>
      <c r="H65" s="409"/>
      <c r="I65" s="409"/>
      <c r="J65" s="409"/>
      <c r="K65" s="409"/>
      <c r="L65" s="409"/>
      <c r="M65" s="409"/>
      <c r="N65" s="409"/>
      <c r="O65" s="409"/>
      <c r="P65" s="409"/>
      <c r="Q65" s="409"/>
      <c r="R65" s="409"/>
      <c r="S65" s="409"/>
      <c r="T65" s="425"/>
      <c r="U65" s="409"/>
      <c r="V65" s="405"/>
    </row>
    <row r="66" spans="1:22" s="491" customFormat="1" ht="46.5" x14ac:dyDescent="0.35">
      <c r="A66" s="485"/>
      <c r="B66" s="486" t="s">
        <v>18</v>
      </c>
      <c r="C66" s="487"/>
      <c r="D66" s="487"/>
      <c r="E66" s="487"/>
      <c r="F66" s="487"/>
      <c r="G66" s="487"/>
      <c r="H66" s="487"/>
      <c r="I66" s="487"/>
      <c r="J66" s="487" t="s">
        <v>98</v>
      </c>
      <c r="K66" s="487"/>
      <c r="L66" s="487" t="s">
        <v>100</v>
      </c>
      <c r="M66" s="487"/>
      <c r="N66" s="487" t="s">
        <v>102</v>
      </c>
      <c r="O66" s="487"/>
      <c r="P66" s="487" t="s">
        <v>104</v>
      </c>
      <c r="Q66" s="487"/>
      <c r="R66" s="487" t="s">
        <v>111</v>
      </c>
      <c r="S66" s="487"/>
      <c r="T66" s="488" t="s">
        <v>119</v>
      </c>
      <c r="U66" s="489"/>
      <c r="V66" s="490"/>
    </row>
    <row r="67" spans="1:22" s="507" customFormat="1" x14ac:dyDescent="0.35">
      <c r="A67" s="520"/>
      <c r="B67" s="521" t="s">
        <v>19</v>
      </c>
      <c r="C67" s="564"/>
      <c r="D67" s="564"/>
      <c r="E67" s="564"/>
      <c r="F67" s="564"/>
      <c r="G67" s="564"/>
      <c r="H67" s="564"/>
      <c r="I67" s="564"/>
      <c r="J67" s="564">
        <v>1000296</v>
      </c>
      <c r="K67" s="564"/>
      <c r="L67" s="565">
        <v>307595</v>
      </c>
      <c r="M67" s="564"/>
      <c r="N67" s="564">
        <v>307595</v>
      </c>
      <c r="O67" s="564"/>
      <c r="P67" s="564">
        <v>0</v>
      </c>
      <c r="Q67" s="564"/>
      <c r="R67" s="564">
        <v>0</v>
      </c>
      <c r="S67" s="564"/>
      <c r="T67" s="565">
        <f>+L67-N67+P67-R67</f>
        <v>0</v>
      </c>
      <c r="U67" s="523"/>
      <c r="V67" s="506"/>
    </row>
    <row r="68" spans="1:22" s="507" customFormat="1" x14ac:dyDescent="0.35">
      <c r="A68" s="520"/>
      <c r="B68" s="521" t="s">
        <v>20</v>
      </c>
      <c r="C68" s="564"/>
      <c r="D68" s="564"/>
      <c r="E68" s="564"/>
      <c r="F68" s="564"/>
      <c r="G68" s="564"/>
      <c r="H68" s="564"/>
      <c r="I68" s="564"/>
      <c r="J68" s="564">
        <v>54</v>
      </c>
      <c r="K68" s="564"/>
      <c r="L68" s="565">
        <v>0</v>
      </c>
      <c r="M68" s="564"/>
      <c r="N68" s="564">
        <v>0</v>
      </c>
      <c r="O68" s="564"/>
      <c r="P68" s="564">
        <v>0</v>
      </c>
      <c r="Q68" s="564"/>
      <c r="R68" s="564">
        <v>0</v>
      </c>
      <c r="S68" s="564"/>
      <c r="T68" s="565">
        <v>0</v>
      </c>
      <c r="U68" s="523"/>
      <c r="V68" s="506"/>
    </row>
    <row r="69" spans="1:22" s="507" customFormat="1" x14ac:dyDescent="0.35">
      <c r="A69" s="520"/>
      <c r="B69" s="521"/>
      <c r="C69" s="564"/>
      <c r="D69" s="564"/>
      <c r="E69" s="564"/>
      <c r="F69" s="564"/>
      <c r="G69" s="564"/>
      <c r="H69" s="564"/>
      <c r="I69" s="564"/>
      <c r="J69" s="564"/>
      <c r="K69" s="564"/>
      <c r="L69" s="565"/>
      <c r="M69" s="564"/>
      <c r="N69" s="564"/>
      <c r="O69" s="564"/>
      <c r="P69" s="564"/>
      <c r="Q69" s="564"/>
      <c r="R69" s="564"/>
      <c r="S69" s="564"/>
      <c r="T69" s="565"/>
      <c r="U69" s="523"/>
      <c r="V69" s="506"/>
    </row>
    <row r="70" spans="1:22" s="507" customFormat="1" x14ac:dyDescent="0.35">
      <c r="A70" s="520"/>
      <c r="B70" s="521" t="s">
        <v>21</v>
      </c>
      <c r="C70" s="564"/>
      <c r="D70" s="564"/>
      <c r="E70" s="564"/>
      <c r="F70" s="564"/>
      <c r="G70" s="564"/>
      <c r="H70" s="564"/>
      <c r="I70" s="564"/>
      <c r="J70" s="564">
        <f>SUM(J67:J69)</f>
        <v>1000350</v>
      </c>
      <c r="K70" s="564"/>
      <c r="L70" s="564">
        <f>L67+L68</f>
        <v>307595</v>
      </c>
      <c r="M70" s="564"/>
      <c r="N70" s="564">
        <f>SUM(N67:N69)</f>
        <v>307595</v>
      </c>
      <c r="O70" s="564"/>
      <c r="P70" s="564">
        <f>SUM(P67:P69)</f>
        <v>0</v>
      </c>
      <c r="Q70" s="564"/>
      <c r="R70" s="564">
        <f>SUM(R67:R69)</f>
        <v>0</v>
      </c>
      <c r="S70" s="564"/>
      <c r="T70" s="564">
        <f>SUM(T67:T69)</f>
        <v>0</v>
      </c>
      <c r="U70" s="523"/>
      <c r="V70" s="506"/>
    </row>
    <row r="71" spans="1:22" x14ac:dyDescent="0.35">
      <c r="A71" s="407"/>
      <c r="B71" s="427"/>
      <c r="C71" s="428"/>
      <c r="D71" s="428"/>
      <c r="E71" s="428"/>
      <c r="F71" s="428"/>
      <c r="G71" s="428"/>
      <c r="H71" s="428"/>
      <c r="I71" s="428"/>
      <c r="J71" s="428"/>
      <c r="K71" s="428"/>
      <c r="L71" s="428"/>
      <c r="M71" s="428"/>
      <c r="N71" s="428"/>
      <c r="O71" s="428"/>
      <c r="P71" s="428"/>
      <c r="Q71" s="428"/>
      <c r="R71" s="428"/>
      <c r="S71" s="428"/>
      <c r="T71" s="429"/>
      <c r="U71" s="427"/>
      <c r="V71" s="405"/>
    </row>
    <row r="72" spans="1:22" x14ac:dyDescent="0.35">
      <c r="A72" s="407"/>
      <c r="B72" s="484" t="s">
        <v>22</v>
      </c>
      <c r="C72" s="430"/>
      <c r="D72" s="430"/>
      <c r="E72" s="430"/>
      <c r="F72" s="430"/>
      <c r="G72" s="430"/>
      <c r="H72" s="430"/>
      <c r="I72" s="430"/>
      <c r="J72" s="430"/>
      <c r="K72" s="430"/>
      <c r="L72" s="430"/>
      <c r="M72" s="430"/>
      <c r="N72" s="430"/>
      <c r="O72" s="430"/>
      <c r="P72" s="430"/>
      <c r="Q72" s="430"/>
      <c r="R72" s="430"/>
      <c r="S72" s="430"/>
      <c r="T72" s="431"/>
      <c r="U72" s="409"/>
      <c r="V72" s="405"/>
    </row>
    <row r="73" spans="1:22" x14ac:dyDescent="0.35">
      <c r="A73" s="407"/>
      <c r="B73" s="409"/>
      <c r="C73" s="430"/>
      <c r="D73" s="430"/>
      <c r="E73" s="430"/>
      <c r="F73" s="430"/>
      <c r="G73" s="430"/>
      <c r="H73" s="430"/>
      <c r="I73" s="430"/>
      <c r="J73" s="430"/>
      <c r="K73" s="430"/>
      <c r="L73" s="430"/>
      <c r="M73" s="430"/>
      <c r="N73" s="430"/>
      <c r="O73" s="430"/>
      <c r="P73" s="430"/>
      <c r="Q73" s="430"/>
      <c r="R73" s="430"/>
      <c r="S73" s="430"/>
      <c r="T73" s="431"/>
      <c r="U73" s="409"/>
      <c r="V73" s="405"/>
    </row>
    <row r="74" spans="1:22" s="507" customFormat="1" x14ac:dyDescent="0.35">
      <c r="A74" s="520"/>
      <c r="B74" s="521" t="s">
        <v>19</v>
      </c>
      <c r="C74" s="564"/>
      <c r="D74" s="564"/>
      <c r="E74" s="564"/>
      <c r="F74" s="564"/>
      <c r="G74" s="564"/>
      <c r="H74" s="564"/>
      <c r="I74" s="564"/>
      <c r="J74" s="564"/>
      <c r="K74" s="564"/>
      <c r="L74" s="564"/>
      <c r="M74" s="564"/>
      <c r="N74" s="564"/>
      <c r="O74" s="564"/>
      <c r="P74" s="564"/>
      <c r="Q74" s="564"/>
      <c r="R74" s="564"/>
      <c r="S74" s="564"/>
      <c r="T74" s="564"/>
      <c r="U74" s="523"/>
      <c r="V74" s="506"/>
    </row>
    <row r="75" spans="1:22" s="507" customFormat="1" x14ac:dyDescent="0.35">
      <c r="A75" s="520"/>
      <c r="B75" s="521" t="s">
        <v>20</v>
      </c>
      <c r="C75" s="564"/>
      <c r="D75" s="564"/>
      <c r="E75" s="564"/>
      <c r="F75" s="564"/>
      <c r="G75" s="564"/>
      <c r="H75" s="564"/>
      <c r="I75" s="564"/>
      <c r="J75" s="564"/>
      <c r="K75" s="564"/>
      <c r="L75" s="564"/>
      <c r="M75" s="564"/>
      <c r="N75" s="564"/>
      <c r="O75" s="564"/>
      <c r="P75" s="564"/>
      <c r="Q75" s="564"/>
      <c r="R75" s="564"/>
      <c r="S75" s="564"/>
      <c r="T75" s="564"/>
      <c r="U75" s="523"/>
      <c r="V75" s="506"/>
    </row>
    <row r="76" spans="1:22" s="507" customFormat="1" x14ac:dyDescent="0.35">
      <c r="A76" s="520"/>
      <c r="B76" s="521"/>
      <c r="C76" s="564"/>
      <c r="D76" s="564"/>
      <c r="E76" s="564"/>
      <c r="F76" s="564"/>
      <c r="G76" s="564"/>
      <c r="H76" s="564"/>
      <c r="I76" s="564"/>
      <c r="J76" s="564"/>
      <c r="K76" s="564"/>
      <c r="L76" s="564"/>
      <c r="M76" s="564"/>
      <c r="N76" s="564"/>
      <c r="O76" s="564"/>
      <c r="P76" s="564"/>
      <c r="Q76" s="564"/>
      <c r="R76" s="564"/>
      <c r="S76" s="564"/>
      <c r="T76" s="564"/>
      <c r="U76" s="523"/>
      <c r="V76" s="506"/>
    </row>
    <row r="77" spans="1:22" s="507" customFormat="1" x14ac:dyDescent="0.35">
      <c r="A77" s="520"/>
      <c r="B77" s="521" t="s">
        <v>21</v>
      </c>
      <c r="C77" s="564"/>
      <c r="D77" s="564"/>
      <c r="E77" s="564"/>
      <c r="F77" s="564"/>
      <c r="G77" s="564"/>
      <c r="H77" s="564"/>
      <c r="I77" s="564"/>
      <c r="J77" s="564"/>
      <c r="K77" s="564"/>
      <c r="L77" s="564"/>
      <c r="M77" s="564"/>
      <c r="N77" s="564"/>
      <c r="O77" s="564"/>
      <c r="P77" s="564"/>
      <c r="Q77" s="564"/>
      <c r="R77" s="564"/>
      <c r="S77" s="564"/>
      <c r="T77" s="564"/>
      <c r="U77" s="523"/>
      <c r="V77" s="506"/>
    </row>
    <row r="78" spans="1:22" s="507" customFormat="1" x14ac:dyDescent="0.35">
      <c r="A78" s="520"/>
      <c r="B78" s="521"/>
      <c r="C78" s="564"/>
      <c r="D78" s="564"/>
      <c r="E78" s="564"/>
      <c r="F78" s="564"/>
      <c r="G78" s="564"/>
      <c r="H78" s="564"/>
      <c r="I78" s="564"/>
      <c r="J78" s="564"/>
      <c r="K78" s="564"/>
      <c r="L78" s="564"/>
      <c r="M78" s="564"/>
      <c r="N78" s="564"/>
      <c r="O78" s="564"/>
      <c r="P78" s="564"/>
      <c r="Q78" s="564"/>
      <c r="R78" s="564"/>
      <c r="S78" s="564"/>
      <c r="T78" s="564"/>
      <c r="U78" s="523"/>
      <c r="V78" s="506"/>
    </row>
    <row r="79" spans="1:22" s="507" customFormat="1" x14ac:dyDescent="0.35">
      <c r="A79" s="520"/>
      <c r="B79" s="521" t="s">
        <v>23</v>
      </c>
      <c r="C79" s="564"/>
      <c r="D79" s="564"/>
      <c r="E79" s="564"/>
      <c r="F79" s="564"/>
      <c r="G79" s="564"/>
      <c r="H79" s="564"/>
      <c r="I79" s="564"/>
      <c r="J79" s="564">
        <v>0</v>
      </c>
      <c r="K79" s="564"/>
      <c r="L79" s="564">
        <v>0</v>
      </c>
      <c r="M79" s="564"/>
      <c r="N79" s="564"/>
      <c r="O79" s="564"/>
      <c r="P79" s="564"/>
      <c r="Q79" s="564"/>
      <c r="R79" s="564"/>
      <c r="S79" s="564"/>
      <c r="T79" s="565">
        <v>0</v>
      </c>
      <c r="U79" s="523"/>
      <c r="V79" s="506"/>
    </row>
    <row r="80" spans="1:22" s="507" customFormat="1" x14ac:dyDescent="0.35">
      <c r="A80" s="520"/>
      <c r="B80" s="521" t="s">
        <v>124</v>
      </c>
      <c r="C80" s="564"/>
      <c r="D80" s="564"/>
      <c r="E80" s="564"/>
      <c r="F80" s="564"/>
      <c r="G80" s="564"/>
      <c r="H80" s="564"/>
      <c r="I80" s="564"/>
      <c r="J80" s="564">
        <v>0</v>
      </c>
      <c r="K80" s="564"/>
      <c r="L80" s="564">
        <v>0</v>
      </c>
      <c r="M80" s="564"/>
      <c r="N80" s="564"/>
      <c r="O80" s="564"/>
      <c r="P80" s="564"/>
      <c r="Q80" s="564"/>
      <c r="R80" s="564"/>
      <c r="S80" s="564"/>
      <c r="T80" s="564">
        <f>SUM(J80:P80)</f>
        <v>0</v>
      </c>
      <c r="U80" s="523"/>
      <c r="V80" s="506"/>
    </row>
    <row r="81" spans="1:22" s="507" customFormat="1" x14ac:dyDescent="0.35">
      <c r="A81" s="520"/>
      <c r="B81" s="521" t="s">
        <v>153</v>
      </c>
      <c r="C81" s="564"/>
      <c r="D81" s="564"/>
      <c r="E81" s="564"/>
      <c r="F81" s="564"/>
      <c r="G81" s="564"/>
      <c r="H81" s="564"/>
      <c r="I81" s="564"/>
      <c r="J81" s="564">
        <v>3</v>
      </c>
      <c r="K81" s="564"/>
      <c r="L81" s="564">
        <v>0</v>
      </c>
      <c r="M81" s="564"/>
      <c r="N81" s="564"/>
      <c r="O81" s="564"/>
      <c r="P81" s="564"/>
      <c r="Q81" s="564"/>
      <c r="R81" s="564"/>
      <c r="S81" s="564"/>
      <c r="T81" s="564">
        <f>+L81+N81</f>
        <v>0</v>
      </c>
      <c r="U81" s="523"/>
      <c r="V81" s="506"/>
    </row>
    <row r="82" spans="1:22" s="507" customFormat="1" x14ac:dyDescent="0.35">
      <c r="A82" s="520"/>
      <c r="B82" s="521" t="s">
        <v>25</v>
      </c>
      <c r="C82" s="564"/>
      <c r="D82" s="564"/>
      <c r="E82" s="564"/>
      <c r="F82" s="564"/>
      <c r="G82" s="564"/>
      <c r="H82" s="564"/>
      <c r="I82" s="564"/>
      <c r="J82" s="564">
        <v>0</v>
      </c>
      <c r="K82" s="564"/>
      <c r="L82" s="564">
        <v>0</v>
      </c>
      <c r="M82" s="564"/>
      <c r="N82" s="564"/>
      <c r="O82" s="564"/>
      <c r="P82" s="564"/>
      <c r="Q82" s="564"/>
      <c r="R82" s="564"/>
      <c r="S82" s="564"/>
      <c r="T82" s="564">
        <v>0</v>
      </c>
      <c r="U82" s="523"/>
      <c r="V82" s="506"/>
    </row>
    <row r="83" spans="1:22" s="507" customFormat="1" x14ac:dyDescent="0.35">
      <c r="A83" s="520"/>
      <c r="B83" s="521" t="s">
        <v>26</v>
      </c>
      <c r="C83" s="564"/>
      <c r="D83" s="564"/>
      <c r="E83" s="564"/>
      <c r="F83" s="564"/>
      <c r="G83" s="564"/>
      <c r="H83" s="564"/>
      <c r="I83" s="564"/>
      <c r="J83" s="564">
        <f>SUM(J70:J82)</f>
        <v>1000353</v>
      </c>
      <c r="K83" s="564"/>
      <c r="L83" s="564">
        <f>SUM(L70:L82)</f>
        <v>307595</v>
      </c>
      <c r="M83" s="564"/>
      <c r="N83" s="564"/>
      <c r="O83" s="564"/>
      <c r="P83" s="564"/>
      <c r="Q83" s="564"/>
      <c r="R83" s="564"/>
      <c r="S83" s="564"/>
      <c r="T83" s="564">
        <f>SUM(T70:T82)</f>
        <v>0</v>
      </c>
      <c r="U83" s="523"/>
      <c r="V83" s="506"/>
    </row>
    <row r="84" spans="1:22" x14ac:dyDescent="0.35">
      <c r="A84" s="407"/>
      <c r="B84" s="427"/>
      <c r="C84" s="428"/>
      <c r="D84" s="428"/>
      <c r="E84" s="428"/>
      <c r="F84" s="428"/>
      <c r="G84" s="428"/>
      <c r="H84" s="428"/>
      <c r="I84" s="428"/>
      <c r="J84" s="428"/>
      <c r="K84" s="428"/>
      <c r="L84" s="428"/>
      <c r="M84" s="428"/>
      <c r="N84" s="428"/>
      <c r="O84" s="428"/>
      <c r="P84" s="428"/>
      <c r="Q84" s="428"/>
      <c r="R84" s="428"/>
      <c r="S84" s="428"/>
      <c r="T84" s="429"/>
      <c r="U84" s="427"/>
      <c r="V84" s="405"/>
    </row>
    <row r="85" spans="1:22" x14ac:dyDescent="0.35">
      <c r="A85" s="407"/>
      <c r="B85" s="409"/>
      <c r="C85" s="409"/>
      <c r="D85" s="409"/>
      <c r="E85" s="409"/>
      <c r="F85" s="409"/>
      <c r="G85" s="409"/>
      <c r="H85" s="409"/>
      <c r="I85" s="409"/>
      <c r="J85" s="409"/>
      <c r="K85" s="409"/>
      <c r="L85" s="409"/>
      <c r="M85" s="409"/>
      <c r="N85" s="409"/>
      <c r="O85" s="409"/>
      <c r="P85" s="409"/>
      <c r="Q85" s="409"/>
      <c r="R85" s="409"/>
      <c r="S85" s="409"/>
      <c r="T85" s="409"/>
      <c r="U85" s="409"/>
      <c r="V85" s="405"/>
    </row>
    <row r="86" spans="1:22" x14ac:dyDescent="0.35">
      <c r="A86" s="599"/>
      <c r="B86" s="610" t="s">
        <v>27</v>
      </c>
      <c r="C86" s="610"/>
      <c r="D86" s="610"/>
      <c r="E86" s="610"/>
      <c r="F86" s="610"/>
      <c r="G86" s="610"/>
      <c r="H86" s="611"/>
      <c r="I86" s="611"/>
      <c r="J86" s="612" t="s">
        <v>99</v>
      </c>
      <c r="K86" s="611"/>
      <c r="L86" s="613">
        <f>+R201</f>
        <v>44071</v>
      </c>
      <c r="M86" s="611"/>
      <c r="N86" s="611"/>
      <c r="O86" s="611"/>
      <c r="P86" s="611"/>
      <c r="Q86" s="611"/>
      <c r="R86" s="611" t="s">
        <v>112</v>
      </c>
      <c r="S86" s="611"/>
      <c r="T86" s="611" t="s">
        <v>120</v>
      </c>
      <c r="U86" s="614"/>
      <c r="V86" s="405"/>
    </row>
    <row r="87" spans="1:22" s="507" customFormat="1" x14ac:dyDescent="0.35">
      <c r="A87" s="605"/>
      <c r="B87" s="606" t="s">
        <v>28</v>
      </c>
      <c r="C87" s="606"/>
      <c r="D87" s="606"/>
      <c r="E87" s="606"/>
      <c r="F87" s="606"/>
      <c r="G87" s="606"/>
      <c r="H87" s="606"/>
      <c r="I87" s="606"/>
      <c r="J87" s="606"/>
      <c r="K87" s="606"/>
      <c r="L87" s="606"/>
      <c r="M87" s="606"/>
      <c r="N87" s="606"/>
      <c r="O87" s="606"/>
      <c r="P87" s="606"/>
      <c r="Q87" s="606"/>
      <c r="R87" s="607">
        <v>0</v>
      </c>
      <c r="S87" s="606"/>
      <c r="T87" s="608">
        <v>0</v>
      </c>
      <c r="U87" s="609"/>
      <c r="V87" s="506"/>
    </row>
    <row r="88" spans="1:22" s="507" customFormat="1" x14ac:dyDescent="0.35">
      <c r="A88" s="520"/>
      <c r="B88" s="521" t="s">
        <v>29</v>
      </c>
      <c r="C88" s="521"/>
      <c r="D88" s="521"/>
      <c r="E88" s="521"/>
      <c r="F88" s="521"/>
      <c r="G88" s="521"/>
      <c r="H88" s="543"/>
      <c r="I88" s="566"/>
      <c r="J88" s="543"/>
      <c r="K88" s="521"/>
      <c r="L88" s="567"/>
      <c r="M88" s="521"/>
      <c r="N88" s="521"/>
      <c r="O88" s="521"/>
      <c r="P88" s="521"/>
      <c r="Q88" s="521"/>
      <c r="R88" s="564">
        <f>307595+3</f>
        <v>307598</v>
      </c>
      <c r="S88" s="521"/>
      <c r="T88" s="565"/>
      <c r="U88" s="523"/>
      <c r="V88" s="506"/>
    </row>
    <row r="89" spans="1:22" s="507" customFormat="1" x14ac:dyDescent="0.35">
      <c r="A89" s="520"/>
      <c r="B89" s="521" t="s">
        <v>259</v>
      </c>
      <c r="C89" s="521"/>
      <c r="D89" s="521"/>
      <c r="E89" s="521"/>
      <c r="F89" s="521"/>
      <c r="G89" s="521"/>
      <c r="H89" s="543"/>
      <c r="I89" s="566"/>
      <c r="J89" s="543"/>
      <c r="K89" s="521"/>
      <c r="L89" s="567"/>
      <c r="M89" s="521"/>
      <c r="N89" s="521"/>
      <c r="O89" s="521"/>
      <c r="P89" s="521"/>
      <c r="Q89" s="521"/>
      <c r="R89" s="564"/>
      <c r="S89" s="521"/>
      <c r="T89" s="565">
        <f>1218+983-244-502</f>
        <v>1455</v>
      </c>
      <c r="U89" s="523"/>
      <c r="V89" s="506"/>
    </row>
    <row r="90" spans="1:22" s="507" customFormat="1" x14ac:dyDescent="0.35">
      <c r="A90" s="520"/>
      <c r="B90" s="521" t="s">
        <v>254</v>
      </c>
      <c r="C90" s="521"/>
      <c r="D90" s="521"/>
      <c r="E90" s="521"/>
      <c r="F90" s="521"/>
      <c r="G90" s="521"/>
      <c r="H90" s="543"/>
      <c r="I90" s="566"/>
      <c r="J90" s="543"/>
      <c r="K90" s="521"/>
      <c r="L90" s="567"/>
      <c r="M90" s="521"/>
      <c r="N90" s="521"/>
      <c r="O90" s="521"/>
      <c r="P90" s="521"/>
      <c r="Q90" s="521"/>
      <c r="R90" s="564"/>
      <c r="S90" s="521"/>
      <c r="T90" s="565">
        <f>12+4</f>
        <v>16</v>
      </c>
      <c r="U90" s="523"/>
      <c r="V90" s="506"/>
    </row>
    <row r="91" spans="1:22" s="507" customFormat="1" x14ac:dyDescent="0.35">
      <c r="A91" s="520"/>
      <c r="B91" s="521" t="s">
        <v>255</v>
      </c>
      <c r="C91" s="521"/>
      <c r="D91" s="521"/>
      <c r="E91" s="521"/>
      <c r="F91" s="521"/>
      <c r="G91" s="521"/>
      <c r="H91" s="543"/>
      <c r="I91" s="566"/>
      <c r="J91" s="543"/>
      <c r="K91" s="521"/>
      <c r="L91" s="567"/>
      <c r="M91" s="521"/>
      <c r="N91" s="521"/>
      <c r="O91" s="521"/>
      <c r="P91" s="521"/>
      <c r="Q91" s="521"/>
      <c r="R91" s="564"/>
      <c r="S91" s="521"/>
      <c r="T91" s="565">
        <v>15</v>
      </c>
      <c r="U91" s="523"/>
      <c r="V91" s="506"/>
    </row>
    <row r="92" spans="1:22" s="507" customFormat="1" x14ac:dyDescent="0.35">
      <c r="A92" s="520"/>
      <c r="B92" s="521" t="s">
        <v>273</v>
      </c>
      <c r="C92" s="521"/>
      <c r="D92" s="521"/>
      <c r="E92" s="521"/>
      <c r="F92" s="521"/>
      <c r="G92" s="521"/>
      <c r="H92" s="543"/>
      <c r="I92" s="566"/>
      <c r="J92" s="543"/>
      <c r="K92" s="521"/>
      <c r="L92" s="567"/>
      <c r="M92" s="521"/>
      <c r="N92" s="521"/>
      <c r="O92" s="521"/>
      <c r="P92" s="521"/>
      <c r="Q92" s="521"/>
      <c r="R92" s="564"/>
      <c r="S92" s="521"/>
      <c r="T92" s="565">
        <v>0</v>
      </c>
      <c r="U92" s="523"/>
      <c r="V92" s="506"/>
    </row>
    <row r="93" spans="1:22" s="507" customFormat="1" x14ac:dyDescent="0.35">
      <c r="A93" s="520"/>
      <c r="B93" s="521" t="s">
        <v>142</v>
      </c>
      <c r="C93" s="521"/>
      <c r="D93" s="521"/>
      <c r="E93" s="521"/>
      <c r="F93" s="521"/>
      <c r="G93" s="521"/>
      <c r="H93" s="521"/>
      <c r="I93" s="521"/>
      <c r="J93" s="521"/>
      <c r="K93" s="521"/>
      <c r="L93" s="521"/>
      <c r="M93" s="521"/>
      <c r="N93" s="521"/>
      <c r="O93" s="521"/>
      <c r="P93" s="521"/>
      <c r="Q93" s="521"/>
      <c r="R93" s="564"/>
      <c r="S93" s="521"/>
      <c r="T93" s="565">
        <v>0</v>
      </c>
      <c r="U93" s="523"/>
      <c r="V93" s="506"/>
    </row>
    <row r="94" spans="1:22" s="507" customFormat="1" x14ac:dyDescent="0.35">
      <c r="A94" s="520"/>
      <c r="B94" s="521" t="s">
        <v>234</v>
      </c>
      <c r="C94" s="521"/>
      <c r="D94" s="521"/>
      <c r="E94" s="521"/>
      <c r="F94" s="521"/>
      <c r="G94" s="521"/>
      <c r="H94" s="521"/>
      <c r="I94" s="521"/>
      <c r="J94" s="521"/>
      <c r="K94" s="521"/>
      <c r="L94" s="521"/>
      <c r="M94" s="521"/>
      <c r="N94" s="521"/>
      <c r="O94" s="521"/>
      <c r="P94" s="521"/>
      <c r="Q94" s="521"/>
      <c r="R94" s="564"/>
      <c r="S94" s="521"/>
      <c r="T94" s="565">
        <v>113</v>
      </c>
      <c r="U94" s="523"/>
      <c r="V94" s="506"/>
    </row>
    <row r="95" spans="1:22" s="507" customFormat="1" x14ac:dyDescent="0.35">
      <c r="A95" s="520"/>
      <c r="B95" s="521" t="s">
        <v>406</v>
      </c>
      <c r="C95" s="521"/>
      <c r="D95" s="521"/>
      <c r="E95" s="521"/>
      <c r="F95" s="521"/>
      <c r="G95" s="521"/>
      <c r="H95" s="521"/>
      <c r="I95" s="521"/>
      <c r="J95" s="521"/>
      <c r="K95" s="521"/>
      <c r="L95" s="521"/>
      <c r="M95" s="521"/>
      <c r="N95" s="521"/>
      <c r="O95" s="521"/>
      <c r="P95" s="521"/>
      <c r="Q95" s="521"/>
      <c r="R95" s="564"/>
      <c r="S95" s="521"/>
      <c r="T95" s="565">
        <f>-T145</f>
        <v>18607</v>
      </c>
      <c r="U95" s="523"/>
      <c r="V95" s="506"/>
    </row>
    <row r="96" spans="1:22" s="507" customFormat="1" x14ac:dyDescent="0.35">
      <c r="A96" s="520"/>
      <c r="B96" s="521" t="s">
        <v>30</v>
      </c>
      <c r="C96" s="521"/>
      <c r="D96" s="521"/>
      <c r="E96" s="521"/>
      <c r="F96" s="521"/>
      <c r="G96" s="521"/>
      <c r="H96" s="521"/>
      <c r="I96" s="521"/>
      <c r="J96" s="521"/>
      <c r="K96" s="521"/>
      <c r="L96" s="521"/>
      <c r="M96" s="521"/>
      <c r="N96" s="521"/>
      <c r="O96" s="521"/>
      <c r="P96" s="521"/>
      <c r="Q96" s="521"/>
      <c r="R96" s="564">
        <f>SUM(R87:R94)</f>
        <v>307598</v>
      </c>
      <c r="S96" s="521"/>
      <c r="T96" s="564">
        <f>SUM(T87:T95)</f>
        <v>20206</v>
      </c>
      <c r="U96" s="523"/>
      <c r="V96" s="506"/>
    </row>
    <row r="97" spans="1:23" s="507" customFormat="1" x14ac:dyDescent="0.35">
      <c r="A97" s="520"/>
      <c r="B97" s="521" t="s">
        <v>170</v>
      </c>
      <c r="C97" s="521"/>
      <c r="D97" s="521"/>
      <c r="E97" s="521"/>
      <c r="F97" s="521"/>
      <c r="G97" s="521"/>
      <c r="H97" s="521"/>
      <c r="I97" s="521"/>
      <c r="J97" s="521"/>
      <c r="K97" s="521"/>
      <c r="L97" s="521"/>
      <c r="M97" s="521"/>
      <c r="N97" s="521"/>
      <c r="O97" s="521"/>
      <c r="P97" s="521"/>
      <c r="Q97" s="521"/>
      <c r="R97" s="564">
        <f>-T97</f>
        <v>0</v>
      </c>
      <c r="S97" s="521"/>
      <c r="T97" s="564">
        <v>0</v>
      </c>
      <c r="U97" s="523"/>
      <c r="V97" s="506"/>
    </row>
    <row r="98" spans="1:23" s="507" customFormat="1" x14ac:dyDescent="0.35">
      <c r="A98" s="520"/>
      <c r="B98" s="521" t="s">
        <v>31</v>
      </c>
      <c r="C98" s="521"/>
      <c r="D98" s="521"/>
      <c r="E98" s="521"/>
      <c r="F98" s="521"/>
      <c r="G98" s="521"/>
      <c r="H98" s="521"/>
      <c r="I98" s="521"/>
      <c r="J98" s="521"/>
      <c r="K98" s="521"/>
      <c r="L98" s="521"/>
      <c r="M98" s="521"/>
      <c r="N98" s="521"/>
      <c r="O98" s="521"/>
      <c r="P98" s="521"/>
      <c r="Q98" s="521"/>
      <c r="R98" s="564">
        <f>-T98</f>
        <v>0</v>
      </c>
      <c r="S98" s="521"/>
      <c r="T98" s="565">
        <v>0</v>
      </c>
      <c r="U98" s="523"/>
      <c r="V98" s="506"/>
    </row>
    <row r="99" spans="1:23" s="507" customFormat="1" x14ac:dyDescent="0.35">
      <c r="A99" s="520"/>
      <c r="B99" s="521" t="s">
        <v>285</v>
      </c>
      <c r="C99" s="521"/>
      <c r="D99" s="521"/>
      <c r="E99" s="521"/>
      <c r="F99" s="521"/>
      <c r="G99" s="521"/>
      <c r="H99" s="521"/>
      <c r="I99" s="521"/>
      <c r="J99" s="521"/>
      <c r="K99" s="521"/>
      <c r="L99" s="521"/>
      <c r="M99" s="521"/>
      <c r="N99" s="521"/>
      <c r="O99" s="521"/>
      <c r="P99" s="521"/>
      <c r="Q99" s="521"/>
      <c r="R99" s="564"/>
      <c r="S99" s="521"/>
      <c r="T99" s="565">
        <v>143</v>
      </c>
      <c r="U99" s="523"/>
      <c r="V99" s="506"/>
    </row>
    <row r="100" spans="1:23" s="507" customFormat="1" x14ac:dyDescent="0.35">
      <c r="A100" s="520"/>
      <c r="B100" s="521" t="s">
        <v>32</v>
      </c>
      <c r="C100" s="521"/>
      <c r="D100" s="521"/>
      <c r="E100" s="521"/>
      <c r="F100" s="521"/>
      <c r="G100" s="521"/>
      <c r="H100" s="521"/>
      <c r="I100" s="521"/>
      <c r="J100" s="521"/>
      <c r="K100" s="521"/>
      <c r="L100" s="521"/>
      <c r="M100" s="521"/>
      <c r="N100" s="521"/>
      <c r="O100" s="521"/>
      <c r="P100" s="521"/>
      <c r="Q100" s="521"/>
      <c r="R100" s="564">
        <f>R96+R98+R97</f>
        <v>307598</v>
      </c>
      <c r="S100" s="521"/>
      <c r="T100" s="564">
        <f>T96+T98+T97+T99</f>
        <v>20349</v>
      </c>
      <c r="U100" s="523"/>
      <c r="V100" s="506"/>
    </row>
    <row r="101" spans="1:23" x14ac:dyDescent="0.35">
      <c r="A101" s="420"/>
      <c r="B101" s="483" t="s">
        <v>33</v>
      </c>
      <c r="C101" s="421"/>
      <c r="D101" s="421"/>
      <c r="E101" s="421"/>
      <c r="F101" s="421"/>
      <c r="G101" s="421"/>
      <c r="H101" s="421"/>
      <c r="I101" s="421"/>
      <c r="J101" s="421"/>
      <c r="K101" s="421"/>
      <c r="L101" s="421"/>
      <c r="M101" s="421"/>
      <c r="N101" s="421"/>
      <c r="O101" s="421"/>
      <c r="P101" s="421"/>
      <c r="Q101" s="421"/>
      <c r="R101" s="432"/>
      <c r="S101" s="421"/>
      <c r="T101" s="433"/>
      <c r="U101" s="422"/>
      <c r="V101" s="405"/>
    </row>
    <row r="102" spans="1:23" s="507" customFormat="1" x14ac:dyDescent="0.35">
      <c r="A102" s="520">
        <v>1</v>
      </c>
      <c r="B102" s="521" t="s">
        <v>34</v>
      </c>
      <c r="C102" s="521"/>
      <c r="D102" s="521"/>
      <c r="E102" s="521"/>
      <c r="F102" s="521"/>
      <c r="G102" s="521"/>
      <c r="H102" s="521"/>
      <c r="I102" s="521"/>
      <c r="J102" s="521"/>
      <c r="K102" s="521"/>
      <c r="L102" s="521"/>
      <c r="M102" s="521"/>
      <c r="N102" s="521"/>
      <c r="O102" s="521"/>
      <c r="P102" s="521"/>
      <c r="Q102" s="521"/>
      <c r="R102" s="521"/>
      <c r="S102" s="521"/>
      <c r="T102" s="565">
        <v>0</v>
      </c>
      <c r="U102" s="523"/>
      <c r="V102" s="506"/>
    </row>
    <row r="103" spans="1:23" s="507" customFormat="1" x14ac:dyDescent="0.35">
      <c r="A103" s="520">
        <f>+A102+1</f>
        <v>2</v>
      </c>
      <c r="B103" s="568" t="s">
        <v>325</v>
      </c>
      <c r="C103" s="521"/>
      <c r="D103" s="521"/>
      <c r="E103" s="521"/>
      <c r="F103" s="521"/>
      <c r="G103" s="521"/>
      <c r="H103" s="521"/>
      <c r="I103" s="521"/>
      <c r="J103" s="521"/>
      <c r="K103" s="521"/>
      <c r="L103" s="521"/>
      <c r="M103" s="521"/>
      <c r="N103" s="521"/>
      <c r="O103" s="521"/>
      <c r="P103" s="521"/>
      <c r="Q103" s="521"/>
      <c r="R103" s="521"/>
      <c r="S103" s="521"/>
      <c r="T103" s="565">
        <v>-2</v>
      </c>
      <c r="U103" s="523"/>
      <c r="V103" s="506"/>
    </row>
    <row r="104" spans="1:23" s="507" customFormat="1" x14ac:dyDescent="0.35">
      <c r="A104" s="520">
        <f>+A103+1</f>
        <v>3</v>
      </c>
      <c r="B104" s="568" t="s">
        <v>327</v>
      </c>
      <c r="C104" s="521"/>
      <c r="D104" s="521"/>
      <c r="E104" s="521"/>
      <c r="F104" s="521"/>
      <c r="G104" s="521"/>
      <c r="H104" s="521"/>
      <c r="I104" s="521"/>
      <c r="J104" s="521"/>
      <c r="K104" s="521"/>
      <c r="L104" s="521"/>
      <c r="M104" s="521"/>
      <c r="N104" s="521"/>
      <c r="O104" s="521"/>
      <c r="P104" s="521"/>
      <c r="Q104" s="521"/>
      <c r="R104" s="521"/>
      <c r="S104" s="521"/>
      <c r="T104" s="565">
        <f>-120-51-4</f>
        <v>-175</v>
      </c>
      <c r="U104" s="523"/>
      <c r="V104" s="506"/>
    </row>
    <row r="105" spans="1:23" s="507" customFormat="1" x14ac:dyDescent="0.35">
      <c r="A105" s="520" t="s">
        <v>134</v>
      </c>
      <c r="B105" s="521" t="s">
        <v>123</v>
      </c>
      <c r="C105" s="521"/>
      <c r="D105" s="521"/>
      <c r="E105" s="521"/>
      <c r="F105" s="521"/>
      <c r="G105" s="521"/>
      <c r="H105" s="521"/>
      <c r="I105" s="521"/>
      <c r="J105" s="521"/>
      <c r="K105" s="521"/>
      <c r="L105" s="521"/>
      <c r="M105" s="521"/>
      <c r="N105" s="521"/>
      <c r="O105" s="521"/>
      <c r="P105" s="521"/>
      <c r="Q105" s="521"/>
      <c r="R105" s="521"/>
      <c r="S105" s="521"/>
      <c r="T105" s="565">
        <v>0</v>
      </c>
      <c r="U105" s="523"/>
      <c r="V105" s="506"/>
    </row>
    <row r="106" spans="1:23" s="507" customFormat="1" x14ac:dyDescent="0.35">
      <c r="A106" s="520" t="s">
        <v>135</v>
      </c>
      <c r="B106" s="521" t="s">
        <v>169</v>
      </c>
      <c r="C106" s="521"/>
      <c r="D106" s="521"/>
      <c r="E106" s="521"/>
      <c r="F106" s="521"/>
      <c r="G106" s="521"/>
      <c r="H106" s="521"/>
      <c r="I106" s="521"/>
      <c r="J106" s="521"/>
      <c r="K106" s="521"/>
      <c r="L106" s="521"/>
      <c r="M106" s="521"/>
      <c r="N106" s="521"/>
      <c r="O106" s="521"/>
      <c r="P106" s="521"/>
      <c r="Q106" s="521"/>
      <c r="R106" s="521"/>
      <c r="S106" s="521"/>
      <c r="T106" s="565">
        <v>0</v>
      </c>
      <c r="U106" s="523"/>
      <c r="V106" s="506"/>
    </row>
    <row r="107" spans="1:23" s="507" customFormat="1" x14ac:dyDescent="0.35">
      <c r="A107" s="520" t="s">
        <v>157</v>
      </c>
      <c r="B107" s="521" t="s">
        <v>353</v>
      </c>
      <c r="C107" s="521"/>
      <c r="D107" s="521"/>
      <c r="E107" s="521"/>
      <c r="F107" s="521"/>
      <c r="G107" s="521"/>
      <c r="H107" s="521"/>
      <c r="I107" s="521"/>
      <c r="J107" s="521"/>
      <c r="K107" s="521"/>
      <c r="L107" s="521"/>
      <c r="M107" s="521"/>
      <c r="N107" s="521"/>
      <c r="O107" s="521"/>
      <c r="P107" s="521"/>
      <c r="Q107" s="521"/>
      <c r="R107" s="521"/>
      <c r="S107" s="521"/>
      <c r="T107" s="565">
        <v>-126</v>
      </c>
      <c r="U107" s="523"/>
      <c r="V107" s="569"/>
      <c r="W107" s="570"/>
    </row>
    <row r="108" spans="1:23" s="507" customFormat="1" x14ac:dyDescent="0.35">
      <c r="A108" s="520" t="s">
        <v>158</v>
      </c>
      <c r="B108" s="521" t="s">
        <v>354</v>
      </c>
      <c r="C108" s="521"/>
      <c r="D108" s="521"/>
      <c r="E108" s="521"/>
      <c r="F108" s="521"/>
      <c r="G108" s="521"/>
      <c r="H108" s="521"/>
      <c r="I108" s="521"/>
      <c r="J108" s="521"/>
      <c r="K108" s="521"/>
      <c r="L108" s="521"/>
      <c r="M108" s="521"/>
      <c r="N108" s="521"/>
      <c r="O108" s="521"/>
      <c r="P108" s="521"/>
      <c r="Q108" s="521"/>
      <c r="R108" s="521"/>
      <c r="S108" s="521"/>
      <c r="T108" s="565">
        <v>-197</v>
      </c>
      <c r="U108" s="523"/>
      <c r="V108" s="506"/>
      <c r="W108" s="570"/>
    </row>
    <row r="109" spans="1:23" s="507" customFormat="1" x14ac:dyDescent="0.35">
      <c r="A109" s="520" t="s">
        <v>247</v>
      </c>
      <c r="B109" s="521" t="s">
        <v>214</v>
      </c>
      <c r="C109" s="521"/>
      <c r="D109" s="521"/>
      <c r="E109" s="521"/>
      <c r="F109" s="521"/>
      <c r="G109" s="521"/>
      <c r="H109" s="521"/>
      <c r="I109" s="521"/>
      <c r="J109" s="521"/>
      <c r="K109" s="521"/>
      <c r="L109" s="521"/>
      <c r="M109" s="521"/>
      <c r="N109" s="521"/>
      <c r="O109" s="521"/>
      <c r="P109" s="521"/>
      <c r="Q109" s="521"/>
      <c r="R109" s="521"/>
      <c r="S109" s="521"/>
      <c r="T109" s="565">
        <v>-17</v>
      </c>
      <c r="U109" s="523"/>
      <c r="V109" s="506"/>
      <c r="W109" s="570"/>
    </row>
    <row r="110" spans="1:23" s="507" customFormat="1" x14ac:dyDescent="0.35">
      <c r="A110" s="520" t="s">
        <v>248</v>
      </c>
      <c r="B110" s="521" t="s">
        <v>215</v>
      </c>
      <c r="C110" s="521"/>
      <c r="D110" s="521"/>
      <c r="E110" s="521"/>
      <c r="F110" s="521"/>
      <c r="G110" s="521"/>
      <c r="H110" s="521"/>
      <c r="I110" s="521"/>
      <c r="J110" s="521"/>
      <c r="K110" s="521"/>
      <c r="L110" s="521"/>
      <c r="M110" s="521"/>
      <c r="N110" s="521"/>
      <c r="O110" s="521"/>
      <c r="P110" s="521"/>
      <c r="Q110" s="521"/>
      <c r="R110" s="521"/>
      <c r="S110" s="521"/>
      <c r="T110" s="565">
        <v>-35</v>
      </c>
      <c r="U110" s="523"/>
      <c r="V110" s="569"/>
      <c r="W110" s="570"/>
    </row>
    <row r="111" spans="1:23" s="507" customFormat="1" x14ac:dyDescent="0.35">
      <c r="A111" s="520" t="s">
        <v>249</v>
      </c>
      <c r="B111" s="521" t="s">
        <v>230</v>
      </c>
      <c r="C111" s="521"/>
      <c r="D111" s="521"/>
      <c r="E111" s="521"/>
      <c r="F111" s="521"/>
      <c r="G111" s="521"/>
      <c r="H111" s="521"/>
      <c r="I111" s="521"/>
      <c r="J111" s="521"/>
      <c r="K111" s="521"/>
      <c r="L111" s="521"/>
      <c r="M111" s="521"/>
      <c r="N111" s="521"/>
      <c r="O111" s="521"/>
      <c r="P111" s="521"/>
      <c r="Q111" s="521"/>
      <c r="R111" s="521"/>
      <c r="S111" s="521"/>
      <c r="T111" s="565">
        <v>-41</v>
      </c>
      <c r="U111" s="523"/>
      <c r="V111" s="506"/>
      <c r="W111" s="570"/>
    </row>
    <row r="112" spans="1:23" s="507" customFormat="1" x14ac:dyDescent="0.35">
      <c r="A112" s="520" t="s">
        <v>250</v>
      </c>
      <c r="B112" s="521" t="s">
        <v>216</v>
      </c>
      <c r="C112" s="521"/>
      <c r="D112" s="521"/>
      <c r="E112" s="521"/>
      <c r="F112" s="521"/>
      <c r="G112" s="521"/>
      <c r="H112" s="521"/>
      <c r="I112" s="521"/>
      <c r="J112" s="521"/>
      <c r="K112" s="521"/>
      <c r="L112" s="521"/>
      <c r="M112" s="521"/>
      <c r="N112" s="521"/>
      <c r="O112" s="521"/>
      <c r="P112" s="521"/>
      <c r="Q112" s="521"/>
      <c r="R112" s="521"/>
      <c r="S112" s="521"/>
      <c r="T112" s="565">
        <v>-103</v>
      </c>
      <c r="U112" s="523"/>
      <c r="V112" s="506"/>
      <c r="W112" s="570"/>
    </row>
    <row r="113" spans="1:23" s="507" customFormat="1" x14ac:dyDescent="0.35">
      <c r="A113" s="520">
        <v>7</v>
      </c>
      <c r="B113" s="568" t="s">
        <v>326</v>
      </c>
      <c r="C113" s="521"/>
      <c r="D113" s="521"/>
      <c r="E113" s="521"/>
      <c r="F113" s="521"/>
      <c r="G113" s="521"/>
      <c r="H113" s="521"/>
      <c r="I113" s="521"/>
      <c r="J113" s="521"/>
      <c r="K113" s="521"/>
      <c r="L113" s="521"/>
      <c r="M113" s="521"/>
      <c r="N113" s="521"/>
      <c r="O113" s="521"/>
      <c r="P113" s="521"/>
      <c r="Q113" s="521"/>
      <c r="R113" s="521"/>
      <c r="S113" s="521"/>
      <c r="T113" s="565">
        <v>0</v>
      </c>
      <c r="U113" s="523"/>
      <c r="V113" s="506"/>
      <c r="W113" s="570"/>
    </row>
    <row r="114" spans="1:23" s="507" customFormat="1" x14ac:dyDescent="0.35">
      <c r="A114" s="520">
        <v>8</v>
      </c>
      <c r="B114" s="521" t="s">
        <v>36</v>
      </c>
      <c r="C114" s="521"/>
      <c r="D114" s="521"/>
      <c r="E114" s="521"/>
      <c r="F114" s="521"/>
      <c r="G114" s="521"/>
      <c r="H114" s="521"/>
      <c r="I114" s="521"/>
      <c r="J114" s="521"/>
      <c r="K114" s="521"/>
      <c r="L114" s="521"/>
      <c r="M114" s="521"/>
      <c r="N114" s="521"/>
      <c r="O114" s="521"/>
      <c r="P114" s="521"/>
      <c r="Q114" s="521"/>
      <c r="R114" s="521"/>
      <c r="S114" s="521"/>
      <c r="T114" s="565">
        <v>-9</v>
      </c>
      <c r="U114" s="523"/>
      <c r="V114" s="506"/>
    </row>
    <row r="115" spans="1:23" s="507" customFormat="1" x14ac:dyDescent="0.35">
      <c r="A115" s="520">
        <f t="shared" ref="A115:A123" si="0">+A114+1</f>
        <v>9</v>
      </c>
      <c r="B115" s="521" t="s">
        <v>47</v>
      </c>
      <c r="C115" s="521"/>
      <c r="D115" s="521"/>
      <c r="E115" s="521"/>
      <c r="F115" s="521"/>
      <c r="G115" s="521"/>
      <c r="H115" s="521"/>
      <c r="I115" s="521"/>
      <c r="J115" s="521"/>
      <c r="K115" s="521"/>
      <c r="L115" s="521"/>
      <c r="M115" s="521"/>
      <c r="N115" s="521"/>
      <c r="O115" s="521"/>
      <c r="P115" s="521"/>
      <c r="Q115" s="521"/>
      <c r="R115" s="564">
        <f>-T115</f>
        <v>-3</v>
      </c>
      <c r="S115" s="521"/>
      <c r="T115" s="565">
        <v>3</v>
      </c>
      <c r="U115" s="523"/>
      <c r="V115" s="506"/>
    </row>
    <row r="116" spans="1:23" s="507" customFormat="1" x14ac:dyDescent="0.35">
      <c r="A116" s="520">
        <f t="shared" si="0"/>
        <v>10</v>
      </c>
      <c r="B116" s="521" t="s">
        <v>132</v>
      </c>
      <c r="C116" s="521"/>
      <c r="D116" s="521"/>
      <c r="E116" s="521"/>
      <c r="F116" s="521"/>
      <c r="G116" s="521"/>
      <c r="H116" s="521"/>
      <c r="I116" s="521"/>
      <c r="J116" s="521"/>
      <c r="K116" s="521"/>
      <c r="L116" s="521"/>
      <c r="M116" s="521"/>
      <c r="N116" s="521"/>
      <c r="O116" s="521"/>
      <c r="P116" s="521"/>
      <c r="Q116" s="521"/>
      <c r="R116" s="521"/>
      <c r="S116" s="521"/>
      <c r="T116" s="565">
        <v>0</v>
      </c>
      <c r="U116" s="523"/>
      <c r="V116" s="506"/>
    </row>
    <row r="117" spans="1:23" s="507" customFormat="1" x14ac:dyDescent="0.35">
      <c r="A117" s="520">
        <f t="shared" si="0"/>
        <v>11</v>
      </c>
      <c r="B117" s="521" t="s">
        <v>37</v>
      </c>
      <c r="C117" s="521"/>
      <c r="D117" s="521"/>
      <c r="E117" s="521"/>
      <c r="F117" s="521"/>
      <c r="G117" s="521"/>
      <c r="H117" s="521"/>
      <c r="I117" s="521"/>
      <c r="J117" s="521"/>
      <c r="K117" s="521"/>
      <c r="L117" s="521"/>
      <c r="M117" s="521"/>
      <c r="N117" s="521"/>
      <c r="O117" s="521"/>
      <c r="P117" s="521"/>
      <c r="Q117" s="521"/>
      <c r="R117" s="521"/>
      <c r="S117" s="521"/>
      <c r="T117" s="565">
        <v>0</v>
      </c>
      <c r="U117" s="523"/>
      <c r="V117" s="506"/>
    </row>
    <row r="118" spans="1:23" s="507" customFormat="1" x14ac:dyDescent="0.35">
      <c r="A118" s="520">
        <f t="shared" si="0"/>
        <v>12</v>
      </c>
      <c r="B118" s="521" t="s">
        <v>38</v>
      </c>
      <c r="C118" s="521"/>
      <c r="D118" s="521"/>
      <c r="E118" s="521"/>
      <c r="F118" s="521"/>
      <c r="G118" s="521"/>
      <c r="H118" s="521"/>
      <c r="I118" s="521"/>
      <c r="J118" s="521"/>
      <c r="K118" s="521"/>
      <c r="L118" s="521"/>
      <c r="M118" s="521"/>
      <c r="N118" s="521"/>
      <c r="O118" s="521"/>
      <c r="P118" s="521"/>
      <c r="Q118" s="521"/>
      <c r="R118" s="521"/>
      <c r="S118" s="521"/>
      <c r="T118" s="565">
        <v>0</v>
      </c>
      <c r="U118" s="523"/>
      <c r="V118" s="506"/>
    </row>
    <row r="119" spans="1:23" s="507" customFormat="1" x14ac:dyDescent="0.35">
      <c r="A119" s="520">
        <f t="shared" si="0"/>
        <v>13</v>
      </c>
      <c r="B119" s="521" t="s">
        <v>156</v>
      </c>
      <c r="C119" s="521"/>
      <c r="D119" s="521"/>
      <c r="E119" s="521"/>
      <c r="F119" s="521"/>
      <c r="G119" s="521"/>
      <c r="H119" s="521"/>
      <c r="I119" s="521"/>
      <c r="J119" s="521"/>
      <c r="K119" s="521"/>
      <c r="L119" s="521"/>
      <c r="M119" s="521"/>
      <c r="N119" s="521"/>
      <c r="O119" s="521"/>
      <c r="P119" s="521"/>
      <c r="Q119" s="521"/>
      <c r="R119" s="521"/>
      <c r="S119" s="521"/>
      <c r="T119" s="565">
        <v>-120</v>
      </c>
      <c r="U119" s="523"/>
      <c r="V119" s="506"/>
    </row>
    <row r="120" spans="1:23" s="507" customFormat="1" x14ac:dyDescent="0.35">
      <c r="A120" s="520">
        <f t="shared" si="0"/>
        <v>14</v>
      </c>
      <c r="B120" s="568" t="s">
        <v>376</v>
      </c>
      <c r="C120" s="521"/>
      <c r="D120" s="521"/>
      <c r="E120" s="521"/>
      <c r="F120" s="521"/>
      <c r="G120" s="521"/>
      <c r="H120" s="521"/>
      <c r="I120" s="521"/>
      <c r="J120" s="521"/>
      <c r="K120" s="521"/>
      <c r="L120" s="521"/>
      <c r="M120" s="521"/>
      <c r="N120" s="521"/>
      <c r="O120" s="521"/>
      <c r="P120" s="521"/>
      <c r="Q120" s="521"/>
      <c r="R120" s="521"/>
      <c r="S120" s="521"/>
      <c r="T120" s="565">
        <v>-197</v>
      </c>
      <c r="U120" s="523"/>
      <c r="V120" s="506"/>
    </row>
    <row r="121" spans="1:23" s="507" customFormat="1" x14ac:dyDescent="0.35">
      <c r="A121" s="520">
        <f t="shared" si="0"/>
        <v>15</v>
      </c>
      <c r="B121" s="521" t="s">
        <v>373</v>
      </c>
      <c r="C121" s="521"/>
      <c r="D121" s="521"/>
      <c r="E121" s="521"/>
      <c r="F121" s="521"/>
      <c r="G121" s="521"/>
      <c r="H121" s="521"/>
      <c r="I121" s="521"/>
      <c r="J121" s="521"/>
      <c r="K121" s="521"/>
      <c r="L121" s="521"/>
      <c r="M121" s="521"/>
      <c r="N121" s="521"/>
      <c r="O121" s="521"/>
      <c r="P121" s="521"/>
      <c r="Q121" s="521"/>
      <c r="R121" s="521"/>
      <c r="S121" s="521"/>
      <c r="T121" s="565">
        <v>-113</v>
      </c>
      <c r="U121" s="523"/>
      <c r="V121" s="506"/>
    </row>
    <row r="122" spans="1:23" s="507" customFormat="1" x14ac:dyDescent="0.35">
      <c r="A122" s="520">
        <f t="shared" si="0"/>
        <v>16</v>
      </c>
      <c r="B122" s="521" t="s">
        <v>375</v>
      </c>
      <c r="C122" s="521"/>
      <c r="D122" s="521"/>
      <c r="E122" s="521"/>
      <c r="F122" s="521"/>
      <c r="G122" s="521"/>
      <c r="H122" s="521"/>
      <c r="I122" s="521"/>
      <c r="J122" s="521"/>
      <c r="K122" s="521"/>
      <c r="L122" s="521"/>
      <c r="M122" s="521"/>
      <c r="N122" s="521"/>
      <c r="O122" s="521"/>
      <c r="P122" s="521"/>
      <c r="Q122" s="521"/>
      <c r="R122" s="521"/>
      <c r="S122" s="521"/>
      <c r="T122" s="565">
        <v>0</v>
      </c>
      <c r="U122" s="523"/>
      <c r="V122" s="506"/>
    </row>
    <row r="123" spans="1:23" s="507" customFormat="1" x14ac:dyDescent="0.35">
      <c r="A123" s="520">
        <f t="shared" si="0"/>
        <v>17</v>
      </c>
      <c r="B123" s="521" t="s">
        <v>374</v>
      </c>
      <c r="C123" s="521"/>
      <c r="D123" s="521"/>
      <c r="E123" s="521"/>
      <c r="F123" s="521"/>
      <c r="G123" s="521"/>
      <c r="H123" s="521"/>
      <c r="I123" s="521"/>
      <c r="J123" s="521"/>
      <c r="K123" s="521"/>
      <c r="L123" s="521"/>
      <c r="M123" s="521"/>
      <c r="N123" s="521"/>
      <c r="O123" s="521"/>
      <c r="P123" s="521"/>
      <c r="Q123" s="521"/>
      <c r="R123" s="521"/>
      <c r="S123" s="521"/>
      <c r="T123" s="565">
        <f>-T100-SUM(T102:T122)</f>
        <v>-19217</v>
      </c>
      <c r="U123" s="523"/>
      <c r="V123" s="506"/>
    </row>
    <row r="124" spans="1:23" x14ac:dyDescent="0.35">
      <c r="A124" s="416"/>
      <c r="B124" s="483" t="s">
        <v>39</v>
      </c>
      <c r="C124" s="417"/>
      <c r="D124" s="417"/>
      <c r="E124" s="417"/>
      <c r="F124" s="417"/>
      <c r="G124" s="417"/>
      <c r="H124" s="417"/>
      <c r="I124" s="417"/>
      <c r="J124" s="417"/>
      <c r="K124" s="417"/>
      <c r="L124" s="417"/>
      <c r="M124" s="417"/>
      <c r="N124" s="417"/>
      <c r="O124" s="417"/>
      <c r="P124" s="417"/>
      <c r="Q124" s="417"/>
      <c r="R124" s="417"/>
      <c r="S124" s="417"/>
      <c r="T124" s="434"/>
      <c r="U124" s="418"/>
      <c r="V124" s="405"/>
    </row>
    <row r="125" spans="1:23" s="507" customFormat="1" x14ac:dyDescent="0.35">
      <c r="A125" s="520"/>
      <c r="B125" s="521" t="s">
        <v>184</v>
      </c>
      <c r="C125" s="521"/>
      <c r="D125" s="521"/>
      <c r="E125" s="521"/>
      <c r="F125" s="521"/>
      <c r="G125" s="521"/>
      <c r="H125" s="521"/>
      <c r="I125" s="521"/>
      <c r="J125" s="521"/>
      <c r="K125" s="521"/>
      <c r="L125" s="521"/>
      <c r="M125" s="521"/>
      <c r="N125" s="521"/>
      <c r="O125" s="521"/>
      <c r="P125" s="521"/>
      <c r="Q125" s="521"/>
      <c r="R125" s="564">
        <f>-R185</f>
        <v>0</v>
      </c>
      <c r="S125" s="564"/>
      <c r="T125" s="565"/>
      <c r="U125" s="523"/>
      <c r="V125" s="506"/>
    </row>
    <row r="126" spans="1:23" s="507" customFormat="1" x14ac:dyDescent="0.35">
      <c r="A126" s="520"/>
      <c r="B126" s="521" t="s">
        <v>185</v>
      </c>
      <c r="C126" s="521"/>
      <c r="D126" s="521"/>
      <c r="E126" s="521"/>
      <c r="F126" s="521"/>
      <c r="G126" s="521"/>
      <c r="H126" s="521"/>
      <c r="I126" s="521"/>
      <c r="J126" s="521"/>
      <c r="K126" s="521"/>
      <c r="L126" s="521"/>
      <c r="M126" s="521"/>
      <c r="N126" s="521"/>
      <c r="O126" s="521"/>
      <c r="P126" s="521"/>
      <c r="Q126" s="521"/>
      <c r="R126" s="564">
        <v>0</v>
      </c>
      <c r="S126" s="564"/>
      <c r="T126" s="565"/>
      <c r="U126" s="523"/>
      <c r="V126" s="506"/>
    </row>
    <row r="127" spans="1:23" s="507" customFormat="1" x14ac:dyDescent="0.35">
      <c r="A127" s="520"/>
      <c r="B127" s="521" t="s">
        <v>40</v>
      </c>
      <c r="C127" s="521"/>
      <c r="D127" s="521"/>
      <c r="E127" s="521"/>
      <c r="F127" s="521"/>
      <c r="G127" s="521"/>
      <c r="H127" s="521"/>
      <c r="I127" s="521"/>
      <c r="J127" s="521"/>
      <c r="K127" s="521"/>
      <c r="L127" s="521"/>
      <c r="M127" s="521"/>
      <c r="N127" s="521"/>
      <c r="O127" s="521"/>
      <c r="P127" s="521"/>
      <c r="Q127" s="521"/>
      <c r="R127" s="564">
        <f>-Q185</f>
        <v>0</v>
      </c>
      <c r="S127" s="564"/>
      <c r="T127" s="565"/>
      <c r="U127" s="523"/>
      <c r="V127" s="506"/>
    </row>
    <row r="128" spans="1:23" s="507" customFormat="1" x14ac:dyDescent="0.35">
      <c r="A128" s="520"/>
      <c r="B128" s="521" t="s">
        <v>377</v>
      </c>
      <c r="C128" s="521"/>
      <c r="D128" s="521"/>
      <c r="E128" s="521"/>
      <c r="F128" s="521"/>
      <c r="G128" s="521"/>
      <c r="H128" s="521"/>
      <c r="I128" s="521"/>
      <c r="J128" s="521"/>
      <c r="K128" s="521"/>
      <c r="L128" s="521"/>
      <c r="M128" s="521"/>
      <c r="N128" s="521"/>
      <c r="O128" s="521"/>
      <c r="P128" s="521"/>
      <c r="Q128" s="521"/>
      <c r="R128" s="564">
        <v>0</v>
      </c>
      <c r="S128" s="564"/>
      <c r="T128" s="565"/>
      <c r="U128" s="523"/>
      <c r="V128" s="506"/>
    </row>
    <row r="129" spans="1:22" s="507" customFormat="1" x14ac:dyDescent="0.35">
      <c r="A129" s="520"/>
      <c r="B129" s="521" t="s">
        <v>229</v>
      </c>
      <c r="C129" s="521"/>
      <c r="D129" s="521"/>
      <c r="E129" s="521"/>
      <c r="F129" s="521"/>
      <c r="G129" s="521"/>
      <c r="H129" s="521"/>
      <c r="I129" s="521"/>
      <c r="J129" s="521"/>
      <c r="K129" s="521"/>
      <c r="L129" s="521"/>
      <c r="M129" s="521"/>
      <c r="N129" s="521"/>
      <c r="O129" s="521"/>
      <c r="P129" s="521"/>
      <c r="Q129" s="521"/>
      <c r="R129" s="564">
        <v>-97652</v>
      </c>
      <c r="S129" s="564"/>
      <c r="T129" s="565"/>
      <c r="U129" s="523"/>
      <c r="V129" s="506"/>
    </row>
    <row r="130" spans="1:22" s="507" customFormat="1" x14ac:dyDescent="0.35">
      <c r="A130" s="520"/>
      <c r="B130" s="521" t="s">
        <v>228</v>
      </c>
      <c r="C130" s="521"/>
      <c r="D130" s="521"/>
      <c r="E130" s="521"/>
      <c r="F130" s="521"/>
      <c r="G130" s="521"/>
      <c r="H130" s="521"/>
      <c r="I130" s="521"/>
      <c r="J130" s="521"/>
      <c r="K130" s="521"/>
      <c r="L130" s="521"/>
      <c r="M130" s="521"/>
      <c r="N130" s="521"/>
      <c r="O130" s="521"/>
      <c r="P130" s="521"/>
      <c r="Q130" s="521"/>
      <c r="R130" s="564">
        <v>-139503</v>
      </c>
      <c r="S130" s="564"/>
      <c r="T130" s="565"/>
      <c r="U130" s="523"/>
      <c r="V130" s="506"/>
    </row>
    <row r="131" spans="1:22" s="507" customFormat="1" x14ac:dyDescent="0.35">
      <c r="A131" s="520"/>
      <c r="B131" s="521" t="s">
        <v>221</v>
      </c>
      <c r="C131" s="521"/>
      <c r="D131" s="521"/>
      <c r="E131" s="521"/>
      <c r="F131" s="521"/>
      <c r="G131" s="521"/>
      <c r="H131" s="521"/>
      <c r="I131" s="521"/>
      <c r="J131" s="521"/>
      <c r="K131" s="521"/>
      <c r="L131" s="521"/>
      <c r="M131" s="521"/>
      <c r="N131" s="521"/>
      <c r="O131" s="521"/>
      <c r="P131" s="521"/>
      <c r="Q131" s="521"/>
      <c r="R131" s="564">
        <v>-19111</v>
      </c>
      <c r="S131" s="564"/>
      <c r="T131" s="565"/>
      <c r="U131" s="523"/>
      <c r="V131" s="506"/>
    </row>
    <row r="132" spans="1:22" s="507" customFormat="1" x14ac:dyDescent="0.35">
      <c r="A132" s="520"/>
      <c r="B132" s="521" t="s">
        <v>220</v>
      </c>
      <c r="C132" s="521"/>
      <c r="D132" s="521"/>
      <c r="E132" s="521"/>
      <c r="F132" s="521"/>
      <c r="G132" s="521"/>
      <c r="H132" s="521"/>
      <c r="I132" s="521"/>
      <c r="J132" s="521"/>
      <c r="K132" s="521"/>
      <c r="L132" s="521"/>
      <c r="M132" s="521"/>
      <c r="N132" s="521"/>
      <c r="O132" s="521"/>
      <c r="P132" s="521"/>
      <c r="Q132" s="521"/>
      <c r="R132" s="564">
        <v>-8123</v>
      </c>
      <c r="S132" s="564"/>
      <c r="T132" s="565"/>
      <c r="U132" s="523"/>
      <c r="V132" s="506"/>
    </row>
    <row r="133" spans="1:22" s="507" customFormat="1" x14ac:dyDescent="0.35">
      <c r="A133" s="520"/>
      <c r="B133" s="521" t="s">
        <v>219</v>
      </c>
      <c r="C133" s="521"/>
      <c r="D133" s="521"/>
      <c r="E133" s="521"/>
      <c r="F133" s="521"/>
      <c r="G133" s="521"/>
      <c r="H133" s="521"/>
      <c r="I133" s="521"/>
      <c r="J133" s="521"/>
      <c r="K133" s="521"/>
      <c r="L133" s="521"/>
      <c r="M133" s="521"/>
      <c r="N133" s="521"/>
      <c r="O133" s="521"/>
      <c r="P133" s="521"/>
      <c r="Q133" s="521"/>
      <c r="R133" s="564">
        <v>-31750</v>
      </c>
      <c r="S133" s="564"/>
      <c r="T133" s="565"/>
      <c r="U133" s="523"/>
      <c r="V133" s="506"/>
    </row>
    <row r="134" spans="1:22" s="507" customFormat="1" x14ac:dyDescent="0.35">
      <c r="A134" s="520"/>
      <c r="B134" s="521" t="s">
        <v>218</v>
      </c>
      <c r="C134" s="521"/>
      <c r="D134" s="521"/>
      <c r="E134" s="521"/>
      <c r="F134" s="521"/>
      <c r="G134" s="521"/>
      <c r="H134" s="521"/>
      <c r="I134" s="521"/>
      <c r="J134" s="521"/>
      <c r="K134" s="521"/>
      <c r="L134" s="521"/>
      <c r="M134" s="521"/>
      <c r="N134" s="521"/>
      <c r="O134" s="521"/>
      <c r="P134" s="521"/>
      <c r="Q134" s="521"/>
      <c r="R134" s="564">
        <v>-11456</v>
      </c>
      <c r="S134" s="564"/>
      <c r="T134" s="565"/>
      <c r="U134" s="523"/>
      <c r="V134" s="506"/>
    </row>
    <row r="135" spans="1:22" s="507" customFormat="1" x14ac:dyDescent="0.35">
      <c r="A135" s="520"/>
      <c r="B135" s="521" t="s">
        <v>41</v>
      </c>
      <c r="C135" s="521"/>
      <c r="D135" s="521"/>
      <c r="E135" s="521"/>
      <c r="F135" s="521"/>
      <c r="G135" s="521"/>
      <c r="H135" s="521"/>
      <c r="I135" s="521"/>
      <c r="J135" s="521"/>
      <c r="K135" s="521"/>
      <c r="L135" s="521"/>
      <c r="M135" s="521"/>
      <c r="N135" s="521"/>
      <c r="O135" s="521"/>
      <c r="P135" s="521"/>
      <c r="Q135" s="521"/>
      <c r="R135" s="564">
        <f>SUM(R125:R134)</f>
        <v>-307595</v>
      </c>
      <c r="S135" s="564"/>
      <c r="T135" s="564">
        <f>SUM(T101:T133)</f>
        <v>-20349</v>
      </c>
      <c r="U135" s="523"/>
      <c r="V135" s="506"/>
    </row>
    <row r="136" spans="1:22" s="507" customFormat="1" x14ac:dyDescent="0.35">
      <c r="A136" s="520"/>
      <c r="B136" s="521" t="s">
        <v>42</v>
      </c>
      <c r="C136" s="521"/>
      <c r="D136" s="521"/>
      <c r="E136" s="521"/>
      <c r="F136" s="521"/>
      <c r="G136" s="521"/>
      <c r="H136" s="521"/>
      <c r="I136" s="521"/>
      <c r="J136" s="521"/>
      <c r="K136" s="521"/>
      <c r="L136" s="521"/>
      <c r="M136" s="521"/>
      <c r="N136" s="521"/>
      <c r="O136" s="521"/>
      <c r="P136" s="521"/>
      <c r="Q136" s="521"/>
      <c r="R136" s="564">
        <f>R100+R135+R115</f>
        <v>0</v>
      </c>
      <c r="S136" s="564"/>
      <c r="T136" s="564">
        <f>T100+T135</f>
        <v>0</v>
      </c>
      <c r="U136" s="523"/>
      <c r="V136" s="506"/>
    </row>
    <row r="137" spans="1:22" s="507" customFormat="1" x14ac:dyDescent="0.35">
      <c r="A137" s="508"/>
      <c r="B137" s="554"/>
      <c r="C137" s="554"/>
      <c r="D137" s="554"/>
      <c r="E137" s="554"/>
      <c r="F137" s="554"/>
      <c r="G137" s="554"/>
      <c r="H137" s="554"/>
      <c r="I137" s="554"/>
      <c r="J137" s="554"/>
      <c r="K137" s="554"/>
      <c r="L137" s="554"/>
      <c r="M137" s="554"/>
      <c r="N137" s="554"/>
      <c r="O137" s="554"/>
      <c r="P137" s="554"/>
      <c r="Q137" s="554"/>
      <c r="R137" s="571"/>
      <c r="S137" s="571"/>
      <c r="T137" s="571"/>
      <c r="U137" s="554"/>
      <c r="V137" s="506"/>
    </row>
    <row r="138" spans="1:22" s="507" customFormat="1" x14ac:dyDescent="0.35">
      <c r="A138" s="508"/>
      <c r="B138" s="509"/>
      <c r="C138" s="509"/>
      <c r="D138" s="509"/>
      <c r="E138" s="509"/>
      <c r="F138" s="509"/>
      <c r="G138" s="509"/>
      <c r="H138" s="509"/>
      <c r="I138" s="509"/>
      <c r="J138" s="509"/>
      <c r="K138" s="509"/>
      <c r="L138" s="509"/>
      <c r="M138" s="509"/>
      <c r="N138" s="509"/>
      <c r="O138" s="509"/>
      <c r="P138" s="509"/>
      <c r="Q138" s="509"/>
      <c r="R138" s="509"/>
      <c r="S138" s="509"/>
      <c r="T138" s="572"/>
      <c r="U138" s="509"/>
      <c r="V138" s="506"/>
    </row>
    <row r="139" spans="1:22" s="507" customFormat="1" ht="19" thickBot="1" x14ac:dyDescent="0.5">
      <c r="A139" s="559"/>
      <c r="B139" s="560" t="str">
        <f>B63</f>
        <v>PM10 INVESTOR REPORT QUARTER ENDING AUGUST 2020</v>
      </c>
      <c r="C139" s="561"/>
      <c r="D139" s="561"/>
      <c r="E139" s="561"/>
      <c r="F139" s="561"/>
      <c r="G139" s="561"/>
      <c r="H139" s="561"/>
      <c r="I139" s="561"/>
      <c r="J139" s="561"/>
      <c r="K139" s="561"/>
      <c r="L139" s="561"/>
      <c r="M139" s="561"/>
      <c r="N139" s="561"/>
      <c r="O139" s="561"/>
      <c r="P139" s="561"/>
      <c r="Q139" s="561"/>
      <c r="R139" s="561"/>
      <c r="S139" s="561"/>
      <c r="T139" s="573"/>
      <c r="U139" s="563"/>
      <c r="V139" s="506"/>
    </row>
    <row r="140" spans="1:22" x14ac:dyDescent="0.35">
      <c r="A140" s="615"/>
      <c r="B140" s="616" t="s">
        <v>43</v>
      </c>
      <c r="C140" s="617"/>
      <c r="D140" s="617"/>
      <c r="E140" s="617"/>
      <c r="F140" s="617"/>
      <c r="G140" s="617"/>
      <c r="H140" s="617"/>
      <c r="I140" s="617"/>
      <c r="J140" s="617"/>
      <c r="K140" s="617"/>
      <c r="L140" s="617"/>
      <c r="M140" s="617"/>
      <c r="N140" s="617"/>
      <c r="O140" s="617"/>
      <c r="P140" s="617"/>
      <c r="Q140" s="617"/>
      <c r="R140" s="617"/>
      <c r="S140" s="617"/>
      <c r="T140" s="618"/>
      <c r="U140" s="617"/>
      <c r="V140" s="405"/>
    </row>
    <row r="141" spans="1:22" x14ac:dyDescent="0.35">
      <c r="A141" s="407"/>
      <c r="B141" s="436"/>
      <c r="C141" s="409"/>
      <c r="D141" s="409"/>
      <c r="E141" s="409"/>
      <c r="F141" s="409"/>
      <c r="G141" s="409"/>
      <c r="H141" s="409"/>
      <c r="I141" s="409"/>
      <c r="J141" s="409"/>
      <c r="K141" s="409"/>
      <c r="L141" s="409"/>
      <c r="M141" s="409"/>
      <c r="N141" s="409"/>
      <c r="O141" s="409"/>
      <c r="P141" s="409"/>
      <c r="Q141" s="409"/>
      <c r="R141" s="409"/>
      <c r="S141" s="409"/>
      <c r="T141" s="425"/>
      <c r="U141" s="409"/>
      <c r="V141" s="405"/>
    </row>
    <row r="142" spans="1:22" x14ac:dyDescent="0.35">
      <c r="A142" s="407"/>
      <c r="B142" s="480" t="s">
        <v>44</v>
      </c>
      <c r="C142" s="409"/>
      <c r="D142" s="409"/>
      <c r="E142" s="409"/>
      <c r="F142" s="409"/>
      <c r="G142" s="409"/>
      <c r="H142" s="409"/>
      <c r="I142" s="409"/>
      <c r="J142" s="409"/>
      <c r="K142" s="409"/>
      <c r="L142" s="409"/>
      <c r="M142" s="409"/>
      <c r="N142" s="409"/>
      <c r="O142" s="409"/>
      <c r="P142" s="409"/>
      <c r="Q142" s="409"/>
      <c r="R142" s="409"/>
      <c r="S142" s="409"/>
      <c r="T142" s="425"/>
      <c r="U142" s="409"/>
      <c r="V142" s="405"/>
    </row>
    <row r="143" spans="1:22" s="507" customFormat="1" x14ac:dyDescent="0.35">
      <c r="A143" s="520"/>
      <c r="B143" s="521" t="s">
        <v>45</v>
      </c>
      <c r="C143" s="521"/>
      <c r="D143" s="521"/>
      <c r="E143" s="521"/>
      <c r="F143" s="521"/>
      <c r="G143" s="521"/>
      <c r="H143" s="521"/>
      <c r="I143" s="521"/>
      <c r="J143" s="521"/>
      <c r="K143" s="521"/>
      <c r="L143" s="521"/>
      <c r="M143" s="521"/>
      <c r="N143" s="521"/>
      <c r="O143" s="521"/>
      <c r="P143" s="521"/>
      <c r="Q143" s="521"/>
      <c r="R143" s="521"/>
      <c r="S143" s="521"/>
      <c r="T143" s="565">
        <f>+T34*0.0186</f>
        <v>18606.565799999997</v>
      </c>
      <c r="U143" s="523"/>
      <c r="V143" s="506"/>
    </row>
    <row r="144" spans="1:22" s="507" customFormat="1" x14ac:dyDescent="0.35">
      <c r="A144" s="520"/>
      <c r="B144" s="521" t="s">
        <v>46</v>
      </c>
      <c r="C144" s="521"/>
      <c r="D144" s="521"/>
      <c r="E144" s="521"/>
      <c r="F144" s="521"/>
      <c r="G144" s="521"/>
      <c r="H144" s="521"/>
      <c r="I144" s="521"/>
      <c r="J144" s="521"/>
      <c r="K144" s="521"/>
      <c r="L144" s="521"/>
      <c r="M144" s="521"/>
      <c r="N144" s="521"/>
      <c r="O144" s="521"/>
      <c r="P144" s="521"/>
      <c r="Q144" s="521"/>
      <c r="R144" s="521"/>
      <c r="S144" s="521"/>
      <c r="T144" s="565">
        <v>18607</v>
      </c>
      <c r="U144" s="523"/>
      <c r="V144" s="506"/>
    </row>
    <row r="145" spans="1:23" s="507" customFormat="1" x14ac:dyDescent="0.35">
      <c r="A145" s="520"/>
      <c r="B145" s="521" t="s">
        <v>405</v>
      </c>
      <c r="C145" s="521"/>
      <c r="D145" s="521"/>
      <c r="E145" s="521"/>
      <c r="F145" s="521"/>
      <c r="G145" s="521"/>
      <c r="H145" s="521"/>
      <c r="I145" s="521"/>
      <c r="J145" s="521"/>
      <c r="K145" s="521"/>
      <c r="L145" s="521"/>
      <c r="M145" s="521"/>
      <c r="N145" s="521"/>
      <c r="O145" s="521"/>
      <c r="P145" s="521"/>
      <c r="Q145" s="521"/>
      <c r="R145" s="521"/>
      <c r="S145" s="521"/>
      <c r="T145" s="565">
        <v>-18607</v>
      </c>
      <c r="U145" s="523"/>
      <c r="V145" s="506"/>
    </row>
    <row r="146" spans="1:23" s="507" customFormat="1" x14ac:dyDescent="0.35">
      <c r="A146" s="520"/>
      <c r="B146" s="521" t="s">
        <v>130</v>
      </c>
      <c r="C146" s="521"/>
      <c r="D146" s="521"/>
      <c r="E146" s="521"/>
      <c r="F146" s="521"/>
      <c r="G146" s="521"/>
      <c r="H146" s="521"/>
      <c r="I146" s="521"/>
      <c r="J146" s="521"/>
      <c r="K146" s="521"/>
      <c r="L146" s="521"/>
      <c r="M146" s="521"/>
      <c r="N146" s="521"/>
      <c r="O146" s="521"/>
      <c r="P146" s="521"/>
      <c r="Q146" s="521"/>
      <c r="R146" s="521"/>
      <c r="S146" s="521"/>
      <c r="T146" s="565">
        <v>0</v>
      </c>
      <c r="U146" s="523"/>
      <c r="V146" s="506"/>
    </row>
    <row r="147" spans="1:23" s="507" customFormat="1" x14ac:dyDescent="0.35">
      <c r="A147" s="520"/>
      <c r="B147" s="521" t="s">
        <v>131</v>
      </c>
      <c r="C147" s="521"/>
      <c r="D147" s="521"/>
      <c r="E147" s="521"/>
      <c r="F147" s="521"/>
      <c r="G147" s="521"/>
      <c r="H147" s="521"/>
      <c r="I147" s="521"/>
      <c r="J147" s="521"/>
      <c r="K147" s="521"/>
      <c r="L147" s="521"/>
      <c r="M147" s="521"/>
      <c r="N147" s="521"/>
      <c r="O147" s="521"/>
      <c r="P147" s="521"/>
      <c r="Q147" s="521"/>
      <c r="R147" s="521"/>
      <c r="S147" s="521"/>
      <c r="T147" s="565">
        <v>0</v>
      </c>
      <c r="U147" s="523"/>
      <c r="V147" s="506"/>
    </row>
    <row r="148" spans="1:23" s="507" customFormat="1" x14ac:dyDescent="0.35">
      <c r="A148" s="520"/>
      <c r="B148" s="521" t="s">
        <v>186</v>
      </c>
      <c r="C148" s="521"/>
      <c r="D148" s="521"/>
      <c r="E148" s="521"/>
      <c r="F148" s="521"/>
      <c r="G148" s="521"/>
      <c r="H148" s="521"/>
      <c r="I148" s="521"/>
      <c r="J148" s="521"/>
      <c r="K148" s="521"/>
      <c r="L148" s="521"/>
      <c r="M148" s="521"/>
      <c r="N148" s="521"/>
      <c r="O148" s="521"/>
      <c r="P148" s="521"/>
      <c r="Q148" s="521"/>
      <c r="R148" s="521"/>
      <c r="S148" s="521"/>
      <c r="T148" s="565">
        <v>0</v>
      </c>
      <c r="U148" s="523"/>
      <c r="V148" s="506"/>
    </row>
    <row r="149" spans="1:23" s="507" customFormat="1" x14ac:dyDescent="0.35">
      <c r="A149" s="520"/>
      <c r="B149" s="521" t="s">
        <v>47</v>
      </c>
      <c r="C149" s="521"/>
      <c r="D149" s="521"/>
      <c r="E149" s="521"/>
      <c r="F149" s="521"/>
      <c r="G149" s="521"/>
      <c r="H149" s="521"/>
      <c r="I149" s="521"/>
      <c r="J149" s="521"/>
      <c r="K149" s="521"/>
      <c r="L149" s="521"/>
      <c r="M149" s="521"/>
      <c r="N149" s="521"/>
      <c r="O149" s="521"/>
      <c r="P149" s="521"/>
      <c r="Q149" s="521"/>
      <c r="R149" s="521"/>
      <c r="S149" s="521"/>
      <c r="T149" s="565">
        <v>0</v>
      </c>
      <c r="U149" s="523"/>
      <c r="V149" s="506"/>
    </row>
    <row r="150" spans="1:23" s="507" customFormat="1" x14ac:dyDescent="0.35">
      <c r="A150" s="520"/>
      <c r="B150" s="521" t="s">
        <v>136</v>
      </c>
      <c r="C150" s="521"/>
      <c r="D150" s="521"/>
      <c r="E150" s="521"/>
      <c r="F150" s="521"/>
      <c r="G150" s="521"/>
      <c r="H150" s="521"/>
      <c r="I150" s="521"/>
      <c r="J150" s="521"/>
      <c r="K150" s="521"/>
      <c r="L150" s="521"/>
      <c r="M150" s="521"/>
      <c r="N150" s="521"/>
      <c r="O150" s="521"/>
      <c r="P150" s="521"/>
      <c r="Q150" s="521"/>
      <c r="R150" s="521"/>
      <c r="S150" s="521"/>
      <c r="T150" s="565">
        <v>0</v>
      </c>
      <c r="U150" s="523"/>
      <c r="V150" s="506"/>
    </row>
    <row r="151" spans="1:23" s="507" customFormat="1" x14ac:dyDescent="0.35">
      <c r="A151" s="520"/>
      <c r="B151" s="521" t="s">
        <v>222</v>
      </c>
      <c r="C151" s="521"/>
      <c r="D151" s="521"/>
      <c r="E151" s="521"/>
      <c r="F151" s="521"/>
      <c r="G151" s="521"/>
      <c r="H151" s="521"/>
      <c r="I151" s="521"/>
      <c r="J151" s="521"/>
      <c r="K151" s="521"/>
      <c r="L151" s="521"/>
      <c r="M151" s="521"/>
      <c r="N151" s="521"/>
      <c r="O151" s="521"/>
      <c r="P151" s="521"/>
      <c r="Q151" s="521"/>
      <c r="R151" s="521"/>
      <c r="S151" s="521"/>
      <c r="T151" s="565">
        <v>0</v>
      </c>
      <c r="U151" s="523"/>
      <c r="V151" s="506"/>
      <c r="W151" s="570"/>
    </row>
    <row r="152" spans="1:23" s="507" customFormat="1" x14ac:dyDescent="0.35">
      <c r="A152" s="520"/>
      <c r="B152" s="521" t="s">
        <v>48</v>
      </c>
      <c r="C152" s="521"/>
      <c r="D152" s="521"/>
      <c r="E152" s="521"/>
      <c r="F152" s="521"/>
      <c r="G152" s="521"/>
      <c r="H152" s="521"/>
      <c r="I152" s="521"/>
      <c r="J152" s="521"/>
      <c r="K152" s="521"/>
      <c r="L152" s="521"/>
      <c r="M152" s="521"/>
      <c r="N152" s="521"/>
      <c r="O152" s="521"/>
      <c r="P152" s="521"/>
      <c r="Q152" s="521"/>
      <c r="R152" s="521"/>
      <c r="S152" s="521"/>
      <c r="T152" s="565">
        <f>SUM(T144:T151)</f>
        <v>0</v>
      </c>
      <c r="U152" s="523"/>
      <c r="V152" s="506"/>
    </row>
    <row r="153" spans="1:23" x14ac:dyDescent="0.35">
      <c r="A153" s="420"/>
      <c r="B153" s="421"/>
      <c r="C153" s="421"/>
      <c r="D153" s="421"/>
      <c r="E153" s="421"/>
      <c r="F153" s="421"/>
      <c r="G153" s="421"/>
      <c r="H153" s="421"/>
      <c r="I153" s="421"/>
      <c r="J153" s="421"/>
      <c r="K153" s="421"/>
      <c r="L153" s="421"/>
      <c r="M153" s="421"/>
      <c r="N153" s="421"/>
      <c r="O153" s="421"/>
      <c r="P153" s="421"/>
      <c r="Q153" s="421"/>
      <c r="R153" s="421"/>
      <c r="S153" s="421"/>
      <c r="T153" s="433"/>
      <c r="U153" s="422"/>
      <c r="V153" s="405"/>
    </row>
    <row r="154" spans="1:23" x14ac:dyDescent="0.35">
      <c r="A154" s="420"/>
      <c r="B154" s="483" t="s">
        <v>266</v>
      </c>
      <c r="C154" s="421"/>
      <c r="D154" s="421"/>
      <c r="E154" s="421"/>
      <c r="F154" s="421"/>
      <c r="G154" s="421"/>
      <c r="H154" s="421"/>
      <c r="I154" s="421"/>
      <c r="J154" s="421"/>
      <c r="K154" s="421"/>
      <c r="L154" s="421"/>
      <c r="M154" s="421"/>
      <c r="N154" s="421"/>
      <c r="O154" s="421"/>
      <c r="P154" s="421"/>
      <c r="Q154" s="421"/>
      <c r="R154" s="421"/>
      <c r="S154" s="421"/>
      <c r="T154" s="433"/>
      <c r="U154" s="422"/>
      <c r="V154" s="405"/>
    </row>
    <row r="155" spans="1:23" s="507" customFormat="1" x14ac:dyDescent="0.35">
      <c r="A155" s="520"/>
      <c r="B155" s="521" t="s">
        <v>163</v>
      </c>
      <c r="C155" s="521"/>
      <c r="D155" s="521"/>
      <c r="E155" s="521"/>
      <c r="F155" s="521"/>
      <c r="G155" s="521"/>
      <c r="H155" s="521"/>
      <c r="I155" s="521"/>
      <c r="J155" s="521"/>
      <c r="K155" s="521"/>
      <c r="L155" s="521"/>
      <c r="M155" s="521"/>
      <c r="N155" s="521"/>
      <c r="O155" s="521"/>
      <c r="P155" s="521"/>
      <c r="Q155" s="521"/>
      <c r="R155" s="521"/>
      <c r="S155" s="521"/>
      <c r="T155" s="565">
        <v>5750</v>
      </c>
      <c r="U155" s="523"/>
      <c r="V155" s="506"/>
    </row>
    <row r="156" spans="1:23" s="507" customFormat="1" x14ac:dyDescent="0.35">
      <c r="A156" s="520"/>
      <c r="B156" s="521" t="s">
        <v>264</v>
      </c>
      <c r="C156" s="521"/>
      <c r="D156" s="521"/>
      <c r="E156" s="521"/>
      <c r="F156" s="521"/>
      <c r="G156" s="521"/>
      <c r="H156" s="521"/>
      <c r="I156" s="521"/>
      <c r="J156" s="521"/>
      <c r="K156" s="521"/>
      <c r="L156" s="521"/>
      <c r="M156" s="521"/>
      <c r="N156" s="521"/>
      <c r="O156" s="521"/>
      <c r="P156" s="521"/>
      <c r="Q156" s="521"/>
      <c r="R156" s="521"/>
      <c r="S156" s="521"/>
      <c r="T156" s="565">
        <v>0</v>
      </c>
      <c r="U156" s="523"/>
      <c r="V156" s="506"/>
    </row>
    <row r="157" spans="1:23" s="507" customFormat="1" x14ac:dyDescent="0.35">
      <c r="A157" s="520"/>
      <c r="B157" s="521" t="s">
        <v>183</v>
      </c>
      <c r="C157" s="521"/>
      <c r="D157" s="521"/>
      <c r="E157" s="521"/>
      <c r="F157" s="521"/>
      <c r="G157" s="521"/>
      <c r="H157" s="521"/>
      <c r="I157" s="521"/>
      <c r="J157" s="521"/>
      <c r="K157" s="521"/>
      <c r="L157" s="521"/>
      <c r="M157" s="521"/>
      <c r="N157" s="521"/>
      <c r="O157" s="521"/>
      <c r="P157" s="521"/>
      <c r="Q157" s="521"/>
      <c r="R157" s="521"/>
      <c r="S157" s="521"/>
      <c r="T157" s="565">
        <v>0</v>
      </c>
      <c r="U157" s="523"/>
      <c r="V157" s="506"/>
    </row>
    <row r="158" spans="1:23" s="507" customFormat="1" x14ac:dyDescent="0.35">
      <c r="A158" s="520"/>
      <c r="B158" s="521" t="s">
        <v>335</v>
      </c>
      <c r="C158" s="521"/>
      <c r="D158" s="521"/>
      <c r="E158" s="521"/>
      <c r="F158" s="521"/>
      <c r="G158" s="521"/>
      <c r="H158" s="521"/>
      <c r="I158" s="521"/>
      <c r="J158" s="521"/>
      <c r="K158" s="521"/>
      <c r="L158" s="521"/>
      <c r="M158" s="521"/>
      <c r="N158" s="521"/>
      <c r="O158" s="521"/>
      <c r="P158" s="521"/>
      <c r="Q158" s="521"/>
      <c r="R158" s="521"/>
      <c r="S158" s="521"/>
      <c r="T158" s="565">
        <v>0</v>
      </c>
      <c r="U158" s="523"/>
      <c r="V158" s="506"/>
    </row>
    <row r="159" spans="1:23" x14ac:dyDescent="0.35">
      <c r="A159" s="420"/>
      <c r="B159" s="421"/>
      <c r="C159" s="421"/>
      <c r="D159" s="421"/>
      <c r="E159" s="421"/>
      <c r="F159" s="421"/>
      <c r="G159" s="421"/>
      <c r="H159" s="421"/>
      <c r="I159" s="421"/>
      <c r="J159" s="421"/>
      <c r="K159" s="421"/>
      <c r="L159" s="421"/>
      <c r="M159" s="421"/>
      <c r="N159" s="421"/>
      <c r="O159" s="421"/>
      <c r="P159" s="421"/>
      <c r="Q159" s="421"/>
      <c r="R159" s="421"/>
      <c r="S159" s="421"/>
      <c r="T159" s="433"/>
      <c r="U159" s="422"/>
      <c r="V159" s="405"/>
    </row>
    <row r="160" spans="1:23" x14ac:dyDescent="0.35">
      <c r="A160" s="407"/>
      <c r="B160" s="427"/>
      <c r="C160" s="427"/>
      <c r="D160" s="427"/>
      <c r="E160" s="427"/>
      <c r="F160" s="427"/>
      <c r="G160" s="427"/>
      <c r="H160" s="427"/>
      <c r="I160" s="427"/>
      <c r="J160" s="427"/>
      <c r="K160" s="427"/>
      <c r="L160" s="427"/>
      <c r="M160" s="427"/>
      <c r="N160" s="427"/>
      <c r="O160" s="427"/>
      <c r="P160" s="427"/>
      <c r="Q160" s="427"/>
      <c r="R160" s="427"/>
      <c r="S160" s="427"/>
      <c r="T160" s="437"/>
      <c r="U160" s="427"/>
      <c r="V160" s="405"/>
    </row>
    <row r="161" spans="1:22" x14ac:dyDescent="0.35">
      <c r="A161" s="407"/>
      <c r="B161" s="480" t="s">
        <v>24</v>
      </c>
      <c r="C161" s="409"/>
      <c r="D161" s="409"/>
      <c r="E161" s="409"/>
      <c r="F161" s="409"/>
      <c r="G161" s="409"/>
      <c r="H161" s="409"/>
      <c r="I161" s="409"/>
      <c r="J161" s="409"/>
      <c r="K161" s="409"/>
      <c r="L161" s="409"/>
      <c r="M161" s="409"/>
      <c r="N161" s="409"/>
      <c r="O161" s="409"/>
      <c r="P161" s="409"/>
      <c r="Q161" s="409"/>
      <c r="R161" s="409"/>
      <c r="S161" s="409"/>
      <c r="T161" s="425"/>
      <c r="U161" s="409"/>
      <c r="V161" s="405"/>
    </row>
    <row r="162" spans="1:22" s="507" customFormat="1" x14ac:dyDescent="0.35">
      <c r="A162" s="520"/>
      <c r="B162" s="521" t="s">
        <v>49</v>
      </c>
      <c r="C162" s="521"/>
      <c r="D162" s="521"/>
      <c r="E162" s="521"/>
      <c r="F162" s="521"/>
      <c r="G162" s="521"/>
      <c r="H162" s="521"/>
      <c r="I162" s="521"/>
      <c r="J162" s="521"/>
      <c r="K162" s="521"/>
      <c r="L162" s="521"/>
      <c r="M162" s="521"/>
      <c r="N162" s="521"/>
      <c r="O162" s="521"/>
      <c r="P162" s="521"/>
      <c r="Q162" s="521"/>
      <c r="R162" s="521"/>
      <c r="S162" s="521"/>
      <c r="T162" s="574" t="s">
        <v>125</v>
      </c>
      <c r="U162" s="523"/>
      <c r="V162" s="506"/>
    </row>
    <row r="163" spans="1:22" s="507" customFormat="1" x14ac:dyDescent="0.35">
      <c r="A163" s="520"/>
      <c r="B163" s="521" t="s">
        <v>50</v>
      </c>
      <c r="C163" s="521"/>
      <c r="D163" s="521"/>
      <c r="E163" s="521"/>
      <c r="F163" s="521"/>
      <c r="G163" s="521"/>
      <c r="H163" s="521"/>
      <c r="I163" s="521"/>
      <c r="J163" s="521"/>
      <c r="K163" s="521"/>
      <c r="L163" s="521"/>
      <c r="M163" s="521"/>
      <c r="N163" s="521"/>
      <c r="O163" s="521"/>
      <c r="P163" s="521"/>
      <c r="Q163" s="521"/>
      <c r="R163" s="521"/>
      <c r="S163" s="521"/>
      <c r="T163" s="574" t="s">
        <v>125</v>
      </c>
      <c r="U163" s="523"/>
      <c r="V163" s="506"/>
    </row>
    <row r="164" spans="1:22" s="507" customFormat="1" x14ac:dyDescent="0.35">
      <c r="A164" s="520"/>
      <c r="B164" s="521" t="s">
        <v>51</v>
      </c>
      <c r="C164" s="521"/>
      <c r="D164" s="521"/>
      <c r="E164" s="521"/>
      <c r="F164" s="521"/>
      <c r="G164" s="521"/>
      <c r="H164" s="521"/>
      <c r="I164" s="521"/>
      <c r="J164" s="521"/>
      <c r="K164" s="521"/>
      <c r="L164" s="521"/>
      <c r="M164" s="521"/>
      <c r="N164" s="521"/>
      <c r="O164" s="521"/>
      <c r="P164" s="521"/>
      <c r="Q164" s="521"/>
      <c r="R164" s="521"/>
      <c r="S164" s="521"/>
      <c r="T164" s="574" t="s">
        <v>125</v>
      </c>
      <c r="U164" s="523"/>
      <c r="V164" s="506"/>
    </row>
    <row r="165" spans="1:22" s="507" customFormat="1" x14ac:dyDescent="0.35">
      <c r="A165" s="520"/>
      <c r="B165" s="521" t="s">
        <v>52</v>
      </c>
      <c r="C165" s="521"/>
      <c r="D165" s="521"/>
      <c r="E165" s="521"/>
      <c r="F165" s="521"/>
      <c r="G165" s="521"/>
      <c r="H165" s="521"/>
      <c r="I165" s="521"/>
      <c r="J165" s="521"/>
      <c r="K165" s="521"/>
      <c r="L165" s="521"/>
      <c r="M165" s="521"/>
      <c r="N165" s="521"/>
      <c r="O165" s="521"/>
      <c r="P165" s="521"/>
      <c r="Q165" s="521"/>
      <c r="R165" s="521"/>
      <c r="S165" s="521"/>
      <c r="T165" s="574" t="s">
        <v>125</v>
      </c>
      <c r="U165" s="523"/>
      <c r="V165" s="506"/>
    </row>
    <row r="166" spans="1:22" x14ac:dyDescent="0.35">
      <c r="A166" s="407"/>
      <c r="B166" s="427"/>
      <c r="C166" s="427"/>
      <c r="D166" s="427"/>
      <c r="E166" s="427"/>
      <c r="F166" s="427"/>
      <c r="G166" s="427"/>
      <c r="H166" s="427"/>
      <c r="I166" s="427"/>
      <c r="J166" s="427"/>
      <c r="K166" s="427"/>
      <c r="L166" s="427"/>
      <c r="M166" s="427"/>
      <c r="N166" s="427"/>
      <c r="O166" s="427"/>
      <c r="P166" s="427"/>
      <c r="Q166" s="427"/>
      <c r="R166" s="427"/>
      <c r="S166" s="427"/>
      <c r="T166" s="437"/>
      <c r="U166" s="427"/>
      <c r="V166" s="405"/>
    </row>
    <row r="167" spans="1:22" x14ac:dyDescent="0.35">
      <c r="A167" s="407"/>
      <c r="B167" s="480" t="s">
        <v>53</v>
      </c>
      <c r="C167" s="409"/>
      <c r="D167" s="409"/>
      <c r="E167" s="409"/>
      <c r="F167" s="409"/>
      <c r="G167" s="409"/>
      <c r="H167" s="409"/>
      <c r="I167" s="409"/>
      <c r="J167" s="409"/>
      <c r="K167" s="409"/>
      <c r="L167" s="409"/>
      <c r="M167" s="409"/>
      <c r="N167" s="409"/>
      <c r="O167" s="409"/>
      <c r="P167" s="409"/>
      <c r="Q167" s="409"/>
      <c r="R167" s="409"/>
      <c r="S167" s="409"/>
      <c r="T167" s="438"/>
      <c r="U167" s="409"/>
      <c r="V167" s="405"/>
    </row>
    <row r="168" spans="1:22" s="507" customFormat="1" x14ac:dyDescent="0.35">
      <c r="A168" s="520"/>
      <c r="B168" s="521" t="s">
        <v>54</v>
      </c>
      <c r="C168" s="521"/>
      <c r="D168" s="521"/>
      <c r="E168" s="521"/>
      <c r="F168" s="521"/>
      <c r="G168" s="521"/>
      <c r="H168" s="521"/>
      <c r="I168" s="521"/>
      <c r="J168" s="521"/>
      <c r="K168" s="521"/>
      <c r="L168" s="521"/>
      <c r="M168" s="521"/>
      <c r="N168" s="521"/>
      <c r="O168" s="521"/>
      <c r="P168" s="521"/>
      <c r="Q168" s="521"/>
      <c r="R168" s="521"/>
      <c r="S168" s="521"/>
      <c r="T168" s="565">
        <v>0</v>
      </c>
      <c r="U168" s="523"/>
      <c r="V168" s="506"/>
    </row>
    <row r="169" spans="1:22" s="507" customFormat="1" x14ac:dyDescent="0.35">
      <c r="A169" s="520"/>
      <c r="B169" s="521" t="s">
        <v>55</v>
      </c>
      <c r="C169" s="521"/>
      <c r="D169" s="521"/>
      <c r="E169" s="521"/>
      <c r="F169" s="521"/>
      <c r="G169" s="521"/>
      <c r="H169" s="521"/>
      <c r="I169" s="521"/>
      <c r="J169" s="521"/>
      <c r="K169" s="521"/>
      <c r="L169" s="521"/>
      <c r="M169" s="521"/>
      <c r="N169" s="521"/>
      <c r="O169" s="521"/>
      <c r="P169" s="521"/>
      <c r="Q169" s="521"/>
      <c r="R169" s="521"/>
      <c r="S169" s="521"/>
      <c r="T169" s="565">
        <v>-3</v>
      </c>
      <c r="U169" s="523"/>
      <c r="V169" s="506"/>
    </row>
    <row r="170" spans="1:22" s="507" customFormat="1" x14ac:dyDescent="0.35">
      <c r="A170" s="520"/>
      <c r="B170" s="521" t="s">
        <v>56</v>
      </c>
      <c r="C170" s="521"/>
      <c r="D170" s="521"/>
      <c r="E170" s="521"/>
      <c r="F170" s="521"/>
      <c r="G170" s="521"/>
      <c r="H170" s="521"/>
      <c r="I170" s="521"/>
      <c r="J170" s="521"/>
      <c r="K170" s="521"/>
      <c r="L170" s="521"/>
      <c r="M170" s="521"/>
      <c r="N170" s="521"/>
      <c r="O170" s="521"/>
      <c r="P170" s="521"/>
      <c r="Q170" s="521"/>
      <c r="R170" s="521"/>
      <c r="S170" s="521"/>
      <c r="T170" s="565">
        <f>T169+T168</f>
        <v>-3</v>
      </c>
      <c r="U170" s="523"/>
      <c r="V170" s="506"/>
    </row>
    <row r="171" spans="1:22" s="507" customFormat="1" x14ac:dyDescent="0.35">
      <c r="A171" s="520"/>
      <c r="B171" s="521" t="s">
        <v>314</v>
      </c>
      <c r="C171" s="521"/>
      <c r="D171" s="521"/>
      <c r="E171" s="521"/>
      <c r="F171" s="521"/>
      <c r="G171" s="521"/>
      <c r="H171" s="521"/>
      <c r="I171" s="521"/>
      <c r="J171" s="521"/>
      <c r="K171" s="521"/>
      <c r="L171" s="521"/>
      <c r="M171" s="521"/>
      <c r="N171" s="521"/>
      <c r="O171" s="521"/>
      <c r="P171" s="521"/>
      <c r="Q171" s="521"/>
      <c r="R171" s="521"/>
      <c r="S171" s="521"/>
      <c r="T171" s="565">
        <f>T115</f>
        <v>3</v>
      </c>
      <c r="U171" s="523"/>
      <c r="V171" s="506"/>
    </row>
    <row r="172" spans="1:22" s="507" customFormat="1" x14ac:dyDescent="0.35">
      <c r="A172" s="520"/>
      <c r="B172" s="521" t="s">
        <v>57</v>
      </c>
      <c r="C172" s="521"/>
      <c r="D172" s="521"/>
      <c r="E172" s="521"/>
      <c r="F172" s="521"/>
      <c r="G172" s="521"/>
      <c r="H172" s="521"/>
      <c r="I172" s="521"/>
      <c r="J172" s="521"/>
      <c r="K172" s="521"/>
      <c r="L172" s="521"/>
      <c r="M172" s="521"/>
      <c r="N172" s="521"/>
      <c r="O172" s="521"/>
      <c r="P172" s="521"/>
      <c r="Q172" s="521"/>
      <c r="R172" s="521"/>
      <c r="S172" s="521"/>
      <c r="T172" s="565">
        <f>T170+T171</f>
        <v>0</v>
      </c>
      <c r="U172" s="523"/>
      <c r="V172" s="506"/>
    </row>
    <row r="173" spans="1:22" s="507" customFormat="1" x14ac:dyDescent="0.35">
      <c r="A173" s="520"/>
      <c r="B173" s="521" t="s">
        <v>285</v>
      </c>
      <c r="C173" s="521"/>
      <c r="D173" s="521"/>
      <c r="E173" s="521"/>
      <c r="F173" s="521"/>
      <c r="G173" s="521"/>
      <c r="H173" s="521"/>
      <c r="I173" s="521"/>
      <c r="J173" s="521"/>
      <c r="K173" s="521"/>
      <c r="L173" s="521"/>
      <c r="M173" s="521"/>
      <c r="N173" s="521"/>
      <c r="O173" s="521"/>
      <c r="P173" s="521"/>
      <c r="Q173" s="521"/>
      <c r="R173" s="521"/>
      <c r="S173" s="521"/>
      <c r="T173" s="565">
        <v>0</v>
      </c>
      <c r="U173" s="523"/>
      <c r="V173" s="506"/>
    </row>
    <row r="174" spans="1:22" ht="16" thickBot="1" x14ac:dyDescent="0.4">
      <c r="A174" s="407"/>
      <c r="B174" s="427"/>
      <c r="C174" s="427"/>
      <c r="D174" s="427"/>
      <c r="E174" s="427"/>
      <c r="F174" s="427"/>
      <c r="G174" s="427"/>
      <c r="H174" s="427"/>
      <c r="I174" s="427"/>
      <c r="J174" s="427"/>
      <c r="K174" s="427"/>
      <c r="L174" s="427"/>
      <c r="M174" s="427"/>
      <c r="N174" s="427"/>
      <c r="O174" s="427"/>
      <c r="P174" s="427"/>
      <c r="Q174" s="427"/>
      <c r="R174" s="427"/>
      <c r="S174" s="427"/>
      <c r="T174" s="437"/>
      <c r="U174" s="427"/>
      <c r="V174" s="405"/>
    </row>
    <row r="175" spans="1:22" x14ac:dyDescent="0.35">
      <c r="A175" s="403"/>
      <c r="B175" s="404"/>
      <c r="C175" s="404"/>
      <c r="D175" s="404"/>
      <c r="E175" s="404"/>
      <c r="F175" s="404"/>
      <c r="G175" s="404"/>
      <c r="H175" s="404"/>
      <c r="I175" s="404"/>
      <c r="J175" s="404"/>
      <c r="K175" s="404"/>
      <c r="L175" s="404"/>
      <c r="M175" s="404"/>
      <c r="N175" s="404"/>
      <c r="O175" s="404"/>
      <c r="P175" s="404"/>
      <c r="Q175" s="404"/>
      <c r="R175" s="404"/>
      <c r="S175" s="404"/>
      <c r="T175" s="439"/>
      <c r="U175" s="404"/>
      <c r="V175" s="405"/>
    </row>
    <row r="176" spans="1:22" x14ac:dyDescent="0.35">
      <c r="A176" s="407"/>
      <c r="B176" s="480" t="s">
        <v>58</v>
      </c>
      <c r="C176" s="409"/>
      <c r="D176" s="409"/>
      <c r="E176" s="409"/>
      <c r="F176" s="409"/>
      <c r="G176" s="409"/>
      <c r="H176" s="409"/>
      <c r="I176" s="409"/>
      <c r="J176" s="409"/>
      <c r="K176" s="409"/>
      <c r="L176" s="409"/>
      <c r="M176" s="409"/>
      <c r="N176" s="409"/>
      <c r="O176" s="409"/>
      <c r="P176" s="409"/>
      <c r="Q176" s="409"/>
      <c r="R176" s="409"/>
      <c r="S176" s="409"/>
      <c r="T176" s="425"/>
      <c r="U176" s="409"/>
      <c r="V176" s="405"/>
    </row>
    <row r="177" spans="1:22" x14ac:dyDescent="0.35">
      <c r="A177" s="407"/>
      <c r="B177" s="436"/>
      <c r="C177" s="409"/>
      <c r="D177" s="409"/>
      <c r="E177" s="409"/>
      <c r="F177" s="409"/>
      <c r="G177" s="409"/>
      <c r="H177" s="409"/>
      <c r="I177" s="409"/>
      <c r="J177" s="409"/>
      <c r="K177" s="409"/>
      <c r="L177" s="409"/>
      <c r="M177" s="409"/>
      <c r="N177" s="409"/>
      <c r="O177" s="409"/>
      <c r="P177" s="409"/>
      <c r="Q177" s="409"/>
      <c r="R177" s="409"/>
      <c r="S177" s="409"/>
      <c r="T177" s="425"/>
      <c r="U177" s="409"/>
      <c r="V177" s="405"/>
    </row>
    <row r="178" spans="1:22" s="507" customFormat="1" x14ac:dyDescent="0.35">
      <c r="A178" s="520"/>
      <c r="B178" s="521" t="s">
        <v>59</v>
      </c>
      <c r="C178" s="521"/>
      <c r="D178" s="521"/>
      <c r="E178" s="521"/>
      <c r="F178" s="521"/>
      <c r="G178" s="521"/>
      <c r="H178" s="521"/>
      <c r="I178" s="521"/>
      <c r="J178" s="521"/>
      <c r="K178" s="521"/>
      <c r="L178" s="521"/>
      <c r="M178" s="521"/>
      <c r="N178" s="521"/>
      <c r="O178" s="521"/>
      <c r="P178" s="521"/>
      <c r="Q178" s="521"/>
      <c r="R178" s="521"/>
      <c r="S178" s="521"/>
      <c r="T178" s="565">
        <f>T70</f>
        <v>0</v>
      </c>
      <c r="U178" s="523"/>
      <c r="V178" s="506"/>
    </row>
    <row r="179" spans="1:22" s="507" customFormat="1" x14ac:dyDescent="0.35">
      <c r="A179" s="520"/>
      <c r="B179" s="521" t="s">
        <v>60</v>
      </c>
      <c r="C179" s="521"/>
      <c r="D179" s="521"/>
      <c r="E179" s="521"/>
      <c r="F179" s="521"/>
      <c r="G179" s="521"/>
      <c r="H179" s="521"/>
      <c r="I179" s="521"/>
      <c r="J179" s="521"/>
      <c r="K179" s="521"/>
      <c r="L179" s="521"/>
      <c r="M179" s="521"/>
      <c r="N179" s="521"/>
      <c r="O179" s="521"/>
      <c r="P179" s="521"/>
      <c r="Q179" s="521"/>
      <c r="R179" s="521"/>
      <c r="S179" s="521"/>
      <c r="T179" s="565">
        <f>T83</f>
        <v>0</v>
      </c>
      <c r="U179" s="523"/>
      <c r="V179" s="506"/>
    </row>
    <row r="180" spans="1:22" ht="16" thickBot="1" x14ac:dyDescent="0.4">
      <c r="A180" s="407"/>
      <c r="B180" s="427"/>
      <c r="C180" s="427"/>
      <c r="D180" s="427"/>
      <c r="E180" s="427"/>
      <c r="F180" s="427"/>
      <c r="G180" s="427"/>
      <c r="H180" s="427"/>
      <c r="I180" s="427"/>
      <c r="J180" s="427"/>
      <c r="K180" s="427"/>
      <c r="L180" s="427"/>
      <c r="M180" s="427"/>
      <c r="N180" s="427"/>
      <c r="O180" s="427"/>
      <c r="P180" s="427"/>
      <c r="Q180" s="427"/>
      <c r="R180" s="427"/>
      <c r="S180" s="427"/>
      <c r="T180" s="437"/>
      <c r="U180" s="427"/>
      <c r="V180" s="405"/>
    </row>
    <row r="181" spans="1:22" x14ac:dyDescent="0.35">
      <c r="A181" s="403"/>
      <c r="B181" s="404"/>
      <c r="C181" s="404"/>
      <c r="D181" s="404"/>
      <c r="E181" s="404"/>
      <c r="F181" s="404"/>
      <c r="G181" s="404"/>
      <c r="H181" s="404"/>
      <c r="I181" s="404"/>
      <c r="J181" s="404"/>
      <c r="K181" s="404"/>
      <c r="L181" s="404"/>
      <c r="M181" s="404"/>
      <c r="N181" s="404"/>
      <c r="O181" s="404"/>
      <c r="P181" s="404"/>
      <c r="Q181" s="404"/>
      <c r="R181" s="404"/>
      <c r="S181" s="404"/>
      <c r="T181" s="439"/>
      <c r="U181" s="404"/>
      <c r="V181" s="405"/>
    </row>
    <row r="182" spans="1:22" x14ac:dyDescent="0.35">
      <c r="A182" s="407"/>
      <c r="B182" s="480" t="s">
        <v>61</v>
      </c>
      <c r="C182" s="426"/>
      <c r="D182" s="426"/>
      <c r="E182" s="426"/>
      <c r="F182" s="426"/>
      <c r="G182" s="426"/>
      <c r="H182" s="440"/>
      <c r="I182" s="440"/>
      <c r="J182" s="440"/>
      <c r="K182" s="440"/>
      <c r="L182" s="440"/>
      <c r="M182" s="440"/>
      <c r="N182" s="440"/>
      <c r="O182" s="440"/>
      <c r="P182" s="440"/>
      <c r="Q182" s="481" t="s">
        <v>105</v>
      </c>
      <c r="R182" s="481" t="s">
        <v>187</v>
      </c>
      <c r="S182" s="411"/>
      <c r="T182" s="482" t="s">
        <v>121</v>
      </c>
      <c r="U182" s="441"/>
      <c r="V182" s="405"/>
    </row>
    <row r="183" spans="1:22" s="507" customFormat="1" x14ac:dyDescent="0.35">
      <c r="A183" s="520"/>
      <c r="B183" s="521" t="s">
        <v>62</v>
      </c>
      <c r="C183" s="521"/>
      <c r="D183" s="521"/>
      <c r="E183" s="521"/>
      <c r="F183" s="521"/>
      <c r="G183" s="521"/>
      <c r="H183" s="521"/>
      <c r="I183" s="521"/>
      <c r="J183" s="521"/>
      <c r="K183" s="521"/>
      <c r="L183" s="521"/>
      <c r="M183" s="521"/>
      <c r="N183" s="521"/>
      <c r="O183" s="521"/>
      <c r="P183" s="521"/>
      <c r="Q183" s="565">
        <f>+T34*0.16</f>
        <v>160056.48000000001</v>
      </c>
      <c r="R183" s="543"/>
      <c r="S183" s="521"/>
      <c r="T183" s="565"/>
      <c r="U183" s="523"/>
      <c r="V183" s="506"/>
    </row>
    <row r="184" spans="1:22" s="507" customFormat="1" x14ac:dyDescent="0.35">
      <c r="A184" s="520"/>
      <c r="B184" s="521" t="s">
        <v>63</v>
      </c>
      <c r="C184" s="521"/>
      <c r="D184" s="521"/>
      <c r="E184" s="521"/>
      <c r="F184" s="521"/>
      <c r="G184" s="521"/>
      <c r="H184" s="521"/>
      <c r="I184" s="521"/>
      <c r="J184" s="521"/>
      <c r="K184" s="521"/>
      <c r="L184" s="521"/>
      <c r="M184" s="521"/>
      <c r="N184" s="521"/>
      <c r="O184" s="521"/>
      <c r="P184" s="521"/>
      <c r="Q184" s="565">
        <f>+'May 20'!Q185</f>
        <v>47259</v>
      </c>
      <c r="R184" s="565">
        <f>+'May 20'!R185</f>
        <v>5998</v>
      </c>
      <c r="S184" s="521"/>
      <c r="T184" s="565">
        <f>Q184+R184</f>
        <v>53257</v>
      </c>
      <c r="U184" s="523"/>
      <c r="V184" s="506"/>
    </row>
    <row r="185" spans="1:22" s="507" customFormat="1" x14ac:dyDescent="0.35">
      <c r="A185" s="520"/>
      <c r="B185" s="521" t="s">
        <v>64</v>
      </c>
      <c r="C185" s="521"/>
      <c r="D185" s="521"/>
      <c r="E185" s="521"/>
      <c r="F185" s="521"/>
      <c r="G185" s="521"/>
      <c r="H185" s="521"/>
      <c r="I185" s="521"/>
      <c r="J185" s="521"/>
      <c r="K185" s="521"/>
      <c r="L185" s="521"/>
      <c r="M185" s="521"/>
      <c r="N185" s="521"/>
      <c r="O185" s="521"/>
      <c r="P185" s="521"/>
      <c r="Q185" s="564">
        <v>0</v>
      </c>
      <c r="R185" s="564">
        <v>0</v>
      </c>
      <c r="S185" s="521"/>
      <c r="T185" s="565">
        <f>Q185+R185</f>
        <v>0</v>
      </c>
      <c r="U185" s="523"/>
      <c r="V185" s="506"/>
    </row>
    <row r="186" spans="1:22" s="507" customFormat="1" x14ac:dyDescent="0.35">
      <c r="A186" s="520"/>
      <c r="B186" s="521" t="s">
        <v>65</v>
      </c>
      <c r="C186" s="521"/>
      <c r="D186" s="521"/>
      <c r="E186" s="521"/>
      <c r="F186" s="521"/>
      <c r="G186" s="521"/>
      <c r="H186" s="521"/>
      <c r="I186" s="521"/>
      <c r="J186" s="521"/>
      <c r="K186" s="521"/>
      <c r="L186" s="521"/>
      <c r="M186" s="521"/>
      <c r="N186" s="521"/>
      <c r="O186" s="521"/>
      <c r="P186" s="521"/>
      <c r="Q186" s="565">
        <f>Q184+Q185</f>
        <v>47259</v>
      </c>
      <c r="R186" s="565">
        <f>R185+R184</f>
        <v>5998</v>
      </c>
      <c r="S186" s="521"/>
      <c r="T186" s="565">
        <f>Q186+R186</f>
        <v>53257</v>
      </c>
      <c r="U186" s="523"/>
      <c r="V186" s="506"/>
    </row>
    <row r="187" spans="1:22" s="507" customFormat="1" x14ac:dyDescent="0.35">
      <c r="A187" s="520"/>
      <c r="B187" s="521" t="s">
        <v>66</v>
      </c>
      <c r="C187" s="521"/>
      <c r="D187" s="521"/>
      <c r="E187" s="521"/>
      <c r="F187" s="521"/>
      <c r="G187" s="521"/>
      <c r="H187" s="521"/>
      <c r="I187" s="521"/>
      <c r="J187" s="521"/>
      <c r="K187" s="521"/>
      <c r="L187" s="521"/>
      <c r="M187" s="521"/>
      <c r="N187" s="521"/>
      <c r="O187" s="521"/>
      <c r="P187" s="521"/>
      <c r="Q187" s="565">
        <f>Q183-Q186-R186</f>
        <v>106799.48000000001</v>
      </c>
      <c r="R187" s="543"/>
      <c r="S187" s="521"/>
      <c r="T187" s="565"/>
      <c r="U187" s="523"/>
      <c r="V187" s="506"/>
    </row>
    <row r="188" spans="1:22" ht="16" thickBot="1" x14ac:dyDescent="0.4">
      <c r="A188" s="407"/>
      <c r="B188" s="427"/>
      <c r="C188" s="427"/>
      <c r="D188" s="427"/>
      <c r="E188" s="427"/>
      <c r="F188" s="427"/>
      <c r="G188" s="427"/>
      <c r="H188" s="427"/>
      <c r="I188" s="427"/>
      <c r="J188" s="427"/>
      <c r="K188" s="427"/>
      <c r="L188" s="427"/>
      <c r="M188" s="427"/>
      <c r="N188" s="427"/>
      <c r="O188" s="427"/>
      <c r="P188" s="427"/>
      <c r="Q188" s="427"/>
      <c r="R188" s="427"/>
      <c r="S188" s="427"/>
      <c r="T188" s="437"/>
      <c r="U188" s="427"/>
      <c r="V188" s="405"/>
    </row>
    <row r="189" spans="1:22" x14ac:dyDescent="0.35">
      <c r="A189" s="403"/>
      <c r="B189" s="404"/>
      <c r="C189" s="404"/>
      <c r="D189" s="404"/>
      <c r="E189" s="404"/>
      <c r="F189" s="404"/>
      <c r="G189" s="404"/>
      <c r="H189" s="404"/>
      <c r="I189" s="404"/>
      <c r="J189" s="404"/>
      <c r="K189" s="404"/>
      <c r="L189" s="404"/>
      <c r="M189" s="404"/>
      <c r="N189" s="404"/>
      <c r="O189" s="404"/>
      <c r="P189" s="404"/>
      <c r="Q189" s="404"/>
      <c r="R189" s="404"/>
      <c r="S189" s="404"/>
      <c r="T189" s="439"/>
      <c r="U189" s="404"/>
      <c r="V189" s="405"/>
    </row>
    <row r="190" spans="1:22" x14ac:dyDescent="0.35">
      <c r="A190" s="407"/>
      <c r="B190" s="480" t="s">
        <v>67</v>
      </c>
      <c r="C190" s="409"/>
      <c r="D190" s="409"/>
      <c r="E190" s="409"/>
      <c r="F190" s="409"/>
      <c r="G190" s="409"/>
      <c r="H190" s="409"/>
      <c r="I190" s="409"/>
      <c r="J190" s="409"/>
      <c r="K190" s="409"/>
      <c r="L190" s="409"/>
      <c r="M190" s="409"/>
      <c r="N190" s="409"/>
      <c r="O190" s="409"/>
      <c r="P190" s="409"/>
      <c r="Q190" s="409"/>
      <c r="R190" s="409"/>
      <c r="S190" s="409"/>
      <c r="T190" s="442"/>
      <c r="U190" s="409"/>
      <c r="V190" s="405"/>
    </row>
    <row r="191" spans="1:22" s="507" customFormat="1" x14ac:dyDescent="0.35">
      <c r="A191" s="520"/>
      <c r="B191" s="521" t="s">
        <v>68</v>
      </c>
      <c r="C191" s="521"/>
      <c r="D191" s="521"/>
      <c r="E191" s="521"/>
      <c r="F191" s="521"/>
      <c r="G191" s="521"/>
      <c r="H191" s="521"/>
      <c r="I191" s="521"/>
      <c r="J191" s="521"/>
      <c r="K191" s="521"/>
      <c r="L191" s="521"/>
      <c r="M191" s="521"/>
      <c r="N191" s="521"/>
      <c r="O191" s="521"/>
      <c r="P191" s="521"/>
      <c r="Q191" s="521"/>
      <c r="R191" s="521"/>
      <c r="S191" s="521"/>
      <c r="T191" s="574">
        <v>0</v>
      </c>
      <c r="U191" s="523"/>
      <c r="V191" s="506"/>
    </row>
    <row r="192" spans="1:22" s="507" customFormat="1" x14ac:dyDescent="0.35">
      <c r="A192" s="520"/>
      <c r="B192" s="521" t="s">
        <v>69</v>
      </c>
      <c r="C192" s="521"/>
      <c r="D192" s="521"/>
      <c r="E192" s="521"/>
      <c r="F192" s="521"/>
      <c r="G192" s="521"/>
      <c r="H192" s="521"/>
      <c r="I192" s="521"/>
      <c r="J192" s="521"/>
      <c r="K192" s="521"/>
      <c r="L192" s="521"/>
      <c r="M192" s="521"/>
      <c r="N192" s="521"/>
      <c r="O192" s="521"/>
      <c r="P192" s="521"/>
      <c r="Q192" s="521"/>
      <c r="R192" s="521"/>
      <c r="S192" s="521"/>
      <c r="T192" s="575">
        <v>0</v>
      </c>
      <c r="U192" s="523"/>
      <c r="V192" s="506"/>
    </row>
    <row r="193" spans="1:22" s="507" customFormat="1" x14ac:dyDescent="0.35">
      <c r="A193" s="520"/>
      <c r="B193" s="521" t="s">
        <v>70</v>
      </c>
      <c r="C193" s="521"/>
      <c r="D193" s="521"/>
      <c r="E193" s="521"/>
      <c r="F193" s="521"/>
      <c r="G193" s="521"/>
      <c r="H193" s="521"/>
      <c r="I193" s="521"/>
      <c r="J193" s="521"/>
      <c r="K193" s="521"/>
      <c r="L193" s="521"/>
      <c r="M193" s="521"/>
      <c r="N193" s="521"/>
      <c r="O193" s="521"/>
      <c r="P193" s="521"/>
      <c r="Q193" s="521"/>
      <c r="R193" s="521"/>
      <c r="S193" s="521"/>
      <c r="T193" s="574">
        <v>0</v>
      </c>
      <c r="U193" s="523"/>
      <c r="V193" s="506"/>
    </row>
    <row r="194" spans="1:22" s="507" customFormat="1" x14ac:dyDescent="0.35">
      <c r="A194" s="520"/>
      <c r="B194" s="521" t="s">
        <v>71</v>
      </c>
      <c r="C194" s="521"/>
      <c r="D194" s="521"/>
      <c r="E194" s="521"/>
      <c r="F194" s="521"/>
      <c r="G194" s="521"/>
      <c r="H194" s="521"/>
      <c r="I194" s="521"/>
      <c r="J194" s="521"/>
      <c r="K194" s="521"/>
      <c r="L194" s="521"/>
      <c r="M194" s="521"/>
      <c r="N194" s="521"/>
      <c r="O194" s="521"/>
      <c r="P194" s="521"/>
      <c r="Q194" s="521"/>
      <c r="R194" s="521"/>
      <c r="S194" s="521"/>
      <c r="T194" s="575">
        <v>0</v>
      </c>
      <c r="U194" s="523"/>
      <c r="V194" s="506"/>
    </row>
    <row r="195" spans="1:22" s="507" customFormat="1" x14ac:dyDescent="0.35">
      <c r="A195" s="520"/>
      <c r="B195" s="521" t="s">
        <v>232</v>
      </c>
      <c r="C195" s="521"/>
      <c r="D195" s="521"/>
      <c r="E195" s="521"/>
      <c r="F195" s="521"/>
      <c r="G195" s="521"/>
      <c r="H195" s="521"/>
      <c r="I195" s="521"/>
      <c r="J195" s="521"/>
      <c r="K195" s="521"/>
      <c r="L195" s="521"/>
      <c r="M195" s="521"/>
      <c r="N195" s="521"/>
      <c r="O195" s="521"/>
      <c r="P195" s="521"/>
      <c r="Q195" s="521"/>
      <c r="R195" s="521"/>
      <c r="S195" s="521"/>
      <c r="T195" s="574">
        <v>0</v>
      </c>
      <c r="U195" s="523"/>
      <c r="V195" s="506"/>
    </row>
    <row r="196" spans="1:22" s="507" customFormat="1" x14ac:dyDescent="0.35">
      <c r="A196" s="520"/>
      <c r="B196" s="521" t="s">
        <v>233</v>
      </c>
      <c r="C196" s="521"/>
      <c r="D196" s="521"/>
      <c r="E196" s="521"/>
      <c r="F196" s="521"/>
      <c r="G196" s="521"/>
      <c r="H196" s="521"/>
      <c r="I196" s="521"/>
      <c r="J196" s="521"/>
      <c r="K196" s="521"/>
      <c r="L196" s="521"/>
      <c r="M196" s="521"/>
      <c r="N196" s="521"/>
      <c r="O196" s="521"/>
      <c r="P196" s="521"/>
      <c r="Q196" s="521"/>
      <c r="R196" s="521"/>
      <c r="S196" s="521"/>
      <c r="T196" s="575">
        <v>0</v>
      </c>
      <c r="U196" s="523"/>
      <c r="V196" s="506"/>
    </row>
    <row r="197" spans="1:22" s="507" customFormat="1" x14ac:dyDescent="0.35">
      <c r="A197" s="520"/>
      <c r="B197" s="521"/>
      <c r="C197" s="521"/>
      <c r="D197" s="521"/>
      <c r="E197" s="521"/>
      <c r="F197" s="521"/>
      <c r="G197" s="521"/>
      <c r="H197" s="521"/>
      <c r="I197" s="521"/>
      <c r="J197" s="521"/>
      <c r="K197" s="521"/>
      <c r="L197" s="521"/>
      <c r="M197" s="521"/>
      <c r="N197" s="521"/>
      <c r="O197" s="521"/>
      <c r="P197" s="521"/>
      <c r="Q197" s="521"/>
      <c r="R197" s="521"/>
      <c r="S197" s="521"/>
      <c r="T197" s="521"/>
      <c r="U197" s="523"/>
      <c r="V197" s="506"/>
    </row>
    <row r="198" spans="1:22" s="507" customFormat="1" x14ac:dyDescent="0.35">
      <c r="A198" s="508"/>
      <c r="B198" s="554"/>
      <c r="C198" s="554"/>
      <c r="D198" s="554"/>
      <c r="E198" s="554"/>
      <c r="F198" s="554"/>
      <c r="G198" s="554"/>
      <c r="H198" s="554"/>
      <c r="I198" s="554"/>
      <c r="J198" s="554"/>
      <c r="K198" s="554"/>
      <c r="L198" s="554"/>
      <c r="M198" s="554"/>
      <c r="N198" s="554"/>
      <c r="O198" s="554"/>
      <c r="P198" s="554"/>
      <c r="Q198" s="554"/>
      <c r="R198" s="554"/>
      <c r="S198" s="554"/>
      <c r="T198" s="554"/>
      <c r="U198" s="554"/>
      <c r="V198" s="506"/>
    </row>
    <row r="199" spans="1:22" s="507" customFormat="1" x14ac:dyDescent="0.35">
      <c r="A199" s="508"/>
      <c r="B199" s="509"/>
      <c r="C199" s="509"/>
      <c r="D199" s="509"/>
      <c r="E199" s="509"/>
      <c r="F199" s="509"/>
      <c r="G199" s="509"/>
      <c r="H199" s="509"/>
      <c r="I199" s="509"/>
      <c r="J199" s="509"/>
      <c r="K199" s="509"/>
      <c r="L199" s="509"/>
      <c r="M199" s="509"/>
      <c r="N199" s="509"/>
      <c r="O199" s="509"/>
      <c r="P199" s="509"/>
      <c r="Q199" s="509"/>
      <c r="R199" s="509"/>
      <c r="S199" s="509"/>
      <c r="T199" s="509"/>
      <c r="U199" s="509"/>
      <c r="V199" s="506"/>
    </row>
    <row r="200" spans="1:22" s="507" customFormat="1" ht="19" thickBot="1" x14ac:dyDescent="0.5">
      <c r="A200" s="559"/>
      <c r="B200" s="560" t="str">
        <f>B139</f>
        <v>PM10 INVESTOR REPORT QUARTER ENDING AUGUST 2020</v>
      </c>
      <c r="C200" s="561"/>
      <c r="D200" s="561"/>
      <c r="E200" s="561"/>
      <c r="F200" s="561"/>
      <c r="G200" s="561"/>
      <c r="H200" s="561"/>
      <c r="I200" s="561"/>
      <c r="J200" s="561"/>
      <c r="K200" s="561"/>
      <c r="L200" s="561"/>
      <c r="M200" s="561"/>
      <c r="N200" s="561"/>
      <c r="O200" s="561"/>
      <c r="P200" s="561"/>
      <c r="Q200" s="561"/>
      <c r="R200" s="561"/>
      <c r="S200" s="561"/>
      <c r="T200" s="561"/>
      <c r="U200" s="563"/>
      <c r="V200" s="506"/>
    </row>
    <row r="201" spans="1:22" x14ac:dyDescent="0.35">
      <c r="A201" s="615"/>
      <c r="B201" s="616" t="s">
        <v>72</v>
      </c>
      <c r="C201" s="619"/>
      <c r="D201" s="619"/>
      <c r="E201" s="619"/>
      <c r="F201" s="619"/>
      <c r="G201" s="620"/>
      <c r="H201" s="620"/>
      <c r="I201" s="620"/>
      <c r="J201" s="620"/>
      <c r="K201" s="620"/>
      <c r="L201" s="620"/>
      <c r="M201" s="620"/>
      <c r="N201" s="620"/>
      <c r="O201" s="620"/>
      <c r="P201" s="620"/>
      <c r="Q201" s="620"/>
      <c r="R201" s="620">
        <v>44071</v>
      </c>
      <c r="S201" s="617"/>
      <c r="T201" s="617"/>
      <c r="U201" s="617"/>
      <c r="V201" s="405"/>
    </row>
    <row r="202" spans="1:22" x14ac:dyDescent="0.35">
      <c r="A202" s="443"/>
      <c r="B202" s="444"/>
      <c r="C202" s="445"/>
      <c r="D202" s="445"/>
      <c r="E202" s="445"/>
      <c r="F202" s="445"/>
      <c r="G202" s="446"/>
      <c r="H202" s="446"/>
      <c r="I202" s="446"/>
      <c r="J202" s="446"/>
      <c r="K202" s="446"/>
      <c r="L202" s="446"/>
      <c r="M202" s="446"/>
      <c r="N202" s="446"/>
      <c r="O202" s="446"/>
      <c r="P202" s="446"/>
      <c r="Q202" s="446"/>
      <c r="R202" s="446"/>
      <c r="S202" s="409"/>
      <c r="T202" s="409"/>
      <c r="U202" s="409"/>
      <c r="V202" s="405"/>
    </row>
    <row r="203" spans="1:22" s="507" customFormat="1" x14ac:dyDescent="0.35">
      <c r="A203" s="520"/>
      <c r="B203" s="521" t="s">
        <v>73</v>
      </c>
      <c r="C203" s="576"/>
      <c r="D203" s="576"/>
      <c r="E203" s="576"/>
      <c r="F203" s="576"/>
      <c r="G203" s="548"/>
      <c r="H203" s="548"/>
      <c r="I203" s="548"/>
      <c r="J203" s="548"/>
      <c r="K203" s="548"/>
      <c r="L203" s="548"/>
      <c r="M203" s="548"/>
      <c r="N203" s="548"/>
      <c r="O203" s="548"/>
      <c r="P203" s="548"/>
      <c r="Q203" s="548"/>
      <c r="R203" s="540">
        <v>5.3960000000000001E-2</v>
      </c>
      <c r="S203" s="521"/>
      <c r="T203" s="521"/>
      <c r="U203" s="523"/>
      <c r="V203" s="506"/>
    </row>
    <row r="204" spans="1:22" s="507" customFormat="1" x14ac:dyDescent="0.35">
      <c r="A204" s="520"/>
      <c r="B204" s="521" t="s">
        <v>159</v>
      </c>
      <c r="C204" s="576"/>
      <c r="D204" s="576"/>
      <c r="E204" s="576"/>
      <c r="F204" s="576"/>
      <c r="G204" s="548"/>
      <c r="H204" s="548"/>
      <c r="I204" s="548"/>
      <c r="J204" s="548"/>
      <c r="K204" s="548"/>
      <c r="L204" s="548"/>
      <c r="M204" s="548"/>
      <c r="N204" s="548"/>
      <c r="O204" s="548"/>
      <c r="P204" s="548"/>
      <c r="Q204" s="548"/>
      <c r="R204" s="540">
        <v>4.7399999999999998E-2</v>
      </c>
      <c r="S204" s="521"/>
      <c r="T204" s="521"/>
      <c r="U204" s="523"/>
      <c r="V204" s="506"/>
    </row>
    <row r="205" spans="1:22" s="507" customFormat="1" x14ac:dyDescent="0.35">
      <c r="A205" s="520"/>
      <c r="B205" s="521" t="s">
        <v>74</v>
      </c>
      <c r="C205" s="576"/>
      <c r="D205" s="576"/>
      <c r="E205" s="576"/>
      <c r="F205" s="576"/>
      <c r="G205" s="548"/>
      <c r="H205" s="548"/>
      <c r="I205" s="548"/>
      <c r="J205" s="548"/>
      <c r="K205" s="548"/>
      <c r="L205" s="548"/>
      <c r="M205" s="548"/>
      <c r="N205" s="548"/>
      <c r="O205" s="548"/>
      <c r="P205" s="548"/>
      <c r="Q205" s="548"/>
      <c r="R205" s="540">
        <f>R203-R204</f>
        <v>6.5600000000000033E-3</v>
      </c>
      <c r="S205" s="521"/>
      <c r="T205" s="521"/>
      <c r="U205" s="523"/>
      <c r="V205" s="506"/>
    </row>
    <row r="206" spans="1:22" s="507" customFormat="1" x14ac:dyDescent="0.35">
      <c r="A206" s="520"/>
      <c r="B206" s="521" t="s">
        <v>75</v>
      </c>
      <c r="C206" s="576"/>
      <c r="D206" s="576"/>
      <c r="E206" s="576"/>
      <c r="F206" s="576"/>
      <c r="G206" s="548"/>
      <c r="H206" s="548"/>
      <c r="I206" s="548"/>
      <c r="J206" s="548"/>
      <c r="K206" s="548"/>
      <c r="L206" s="548"/>
      <c r="M206" s="548"/>
      <c r="N206" s="548"/>
      <c r="O206" s="548"/>
      <c r="P206" s="548"/>
      <c r="Q206" s="548"/>
      <c r="R206" s="540">
        <v>0</v>
      </c>
      <c r="S206" s="521"/>
      <c r="T206" s="521"/>
      <c r="U206" s="523"/>
      <c r="V206" s="506"/>
    </row>
    <row r="207" spans="1:22" s="507" customFormat="1" x14ac:dyDescent="0.35">
      <c r="A207" s="520"/>
      <c r="B207" s="521" t="s">
        <v>262</v>
      </c>
      <c r="C207" s="576"/>
      <c r="D207" s="576"/>
      <c r="E207" s="576"/>
      <c r="F207" s="576"/>
      <c r="G207" s="548"/>
      <c r="H207" s="548"/>
      <c r="I207" s="548"/>
      <c r="J207" s="548"/>
      <c r="K207" s="548"/>
      <c r="L207" s="548"/>
      <c r="M207" s="548"/>
      <c r="N207" s="548"/>
      <c r="O207" s="548"/>
      <c r="P207" s="548"/>
      <c r="Q207" s="548"/>
      <c r="R207" s="540">
        <v>0</v>
      </c>
      <c r="S207" s="521"/>
      <c r="T207" s="521"/>
      <c r="U207" s="523"/>
      <c r="V207" s="506"/>
    </row>
    <row r="208" spans="1:22" s="507" customFormat="1" x14ac:dyDescent="0.35">
      <c r="A208" s="520"/>
      <c r="B208" s="521" t="s">
        <v>76</v>
      </c>
      <c r="C208" s="576"/>
      <c r="D208" s="576"/>
      <c r="E208" s="576"/>
      <c r="F208" s="576"/>
      <c r="G208" s="548"/>
      <c r="H208" s="548"/>
      <c r="I208" s="548"/>
      <c r="J208" s="548"/>
      <c r="K208" s="548"/>
      <c r="L208" s="548"/>
      <c r="M208" s="548"/>
      <c r="N208" s="548"/>
      <c r="O208" s="548"/>
      <c r="P208" s="548"/>
      <c r="Q208" s="548"/>
      <c r="R208" s="540">
        <f>R206-R207</f>
        <v>0</v>
      </c>
      <c r="S208" s="521"/>
      <c r="T208" s="521"/>
      <c r="U208" s="523"/>
      <c r="V208" s="506"/>
    </row>
    <row r="209" spans="1:22" s="507" customFormat="1" x14ac:dyDescent="0.35">
      <c r="A209" s="520"/>
      <c r="B209" s="521" t="s">
        <v>269</v>
      </c>
      <c r="C209" s="576"/>
      <c r="D209" s="576"/>
      <c r="E209" s="576"/>
      <c r="F209" s="576"/>
      <c r="G209" s="548"/>
      <c r="H209" s="548"/>
      <c r="I209" s="548"/>
      <c r="J209" s="548"/>
      <c r="K209" s="548"/>
      <c r="L209" s="548"/>
      <c r="M209" s="548"/>
      <c r="N209" s="548"/>
      <c r="O209" s="548"/>
      <c r="P209" s="548"/>
      <c r="Q209" s="548"/>
      <c r="R209" s="540">
        <v>0</v>
      </c>
      <c r="S209" s="521"/>
      <c r="T209" s="521"/>
      <c r="U209" s="523"/>
      <c r="V209" s="506"/>
    </row>
    <row r="210" spans="1:22" s="507" customFormat="1" x14ac:dyDescent="0.35">
      <c r="A210" s="520"/>
      <c r="B210" s="521" t="s">
        <v>251</v>
      </c>
      <c r="C210" s="576"/>
      <c r="D210" s="576"/>
      <c r="E210" s="576"/>
      <c r="F210" s="576"/>
      <c r="G210" s="548"/>
      <c r="H210" s="548"/>
      <c r="I210" s="548"/>
      <c r="J210" s="548"/>
      <c r="K210" s="548"/>
      <c r="L210" s="548"/>
      <c r="M210" s="548"/>
      <c r="N210" s="548"/>
      <c r="O210" s="548"/>
      <c r="P210" s="548"/>
      <c r="Q210" s="548"/>
      <c r="R210" s="577">
        <v>51653</v>
      </c>
      <c r="S210" s="521"/>
      <c r="T210" s="521"/>
      <c r="U210" s="523"/>
      <c r="V210" s="506"/>
    </row>
    <row r="211" spans="1:22" s="507" customFormat="1" x14ac:dyDescent="0.35">
      <c r="A211" s="520"/>
      <c r="B211" s="521" t="s">
        <v>252</v>
      </c>
      <c r="C211" s="576"/>
      <c r="D211" s="576"/>
      <c r="E211" s="576"/>
      <c r="F211" s="576"/>
      <c r="G211" s="548"/>
      <c r="H211" s="548"/>
      <c r="I211" s="548"/>
      <c r="J211" s="548"/>
      <c r="K211" s="548"/>
      <c r="L211" s="548"/>
      <c r="M211" s="548"/>
      <c r="N211" s="548"/>
      <c r="O211" s="548"/>
      <c r="P211" s="548"/>
      <c r="Q211" s="548"/>
      <c r="R211" s="577">
        <v>51653</v>
      </c>
      <c r="S211" s="521"/>
      <c r="T211" s="521"/>
      <c r="U211" s="523"/>
      <c r="V211" s="506"/>
    </row>
    <row r="212" spans="1:22" s="507" customFormat="1" x14ac:dyDescent="0.35">
      <c r="A212" s="520"/>
      <c r="B212" s="521" t="s">
        <v>253</v>
      </c>
      <c r="C212" s="576"/>
      <c r="D212" s="576"/>
      <c r="E212" s="576"/>
      <c r="F212" s="576"/>
      <c r="G212" s="548"/>
      <c r="H212" s="548"/>
      <c r="I212" s="548"/>
      <c r="J212" s="548"/>
      <c r="K212" s="548"/>
      <c r="L212" s="548"/>
      <c r="M212" s="548"/>
      <c r="N212" s="548"/>
      <c r="O212" s="548"/>
      <c r="P212" s="548"/>
      <c r="Q212" s="548"/>
      <c r="R212" s="577">
        <v>51653</v>
      </c>
      <c r="S212" s="521"/>
      <c r="T212" s="521"/>
      <c r="U212" s="523"/>
      <c r="V212" s="506"/>
    </row>
    <row r="213" spans="1:22" s="507" customFormat="1" x14ac:dyDescent="0.35">
      <c r="A213" s="520"/>
      <c r="B213" s="521" t="s">
        <v>77</v>
      </c>
      <c r="C213" s="576"/>
      <c r="D213" s="576"/>
      <c r="E213" s="576"/>
      <c r="F213" s="576"/>
      <c r="G213" s="548"/>
      <c r="H213" s="548"/>
      <c r="I213" s="548"/>
      <c r="J213" s="548"/>
      <c r="K213" s="548"/>
      <c r="L213" s="548"/>
      <c r="M213" s="548"/>
      <c r="N213" s="548"/>
      <c r="O213" s="548"/>
      <c r="P213" s="548"/>
      <c r="Q213" s="548"/>
      <c r="R213" s="546">
        <v>21.48</v>
      </c>
      <c r="S213" s="521" t="s">
        <v>117</v>
      </c>
      <c r="T213" s="521"/>
      <c r="U213" s="523"/>
      <c r="V213" s="506"/>
    </row>
    <row r="214" spans="1:22" s="507" customFormat="1" x14ac:dyDescent="0.35">
      <c r="A214" s="520"/>
      <c r="B214" s="521" t="s">
        <v>78</v>
      </c>
      <c r="C214" s="576"/>
      <c r="D214" s="576"/>
      <c r="E214" s="576"/>
      <c r="F214" s="576"/>
      <c r="G214" s="548"/>
      <c r="H214" s="548"/>
      <c r="I214" s="548"/>
      <c r="J214" s="548"/>
      <c r="K214" s="548"/>
      <c r="L214" s="548"/>
      <c r="M214" s="548"/>
      <c r="N214" s="548"/>
      <c r="O214" s="548"/>
      <c r="P214" s="548"/>
      <c r="Q214" s="548"/>
      <c r="R214" s="546">
        <v>0</v>
      </c>
      <c r="S214" s="521" t="s">
        <v>117</v>
      </c>
      <c r="T214" s="521"/>
      <c r="U214" s="523"/>
      <c r="V214" s="506"/>
    </row>
    <row r="215" spans="1:22" s="507" customFormat="1" x14ac:dyDescent="0.35">
      <c r="A215" s="520"/>
      <c r="B215" s="521" t="s">
        <v>79</v>
      </c>
      <c r="C215" s="576"/>
      <c r="D215" s="576"/>
      <c r="E215" s="576"/>
      <c r="F215" s="576"/>
      <c r="G215" s="548"/>
      <c r="H215" s="548"/>
      <c r="I215" s="548"/>
      <c r="J215" s="548"/>
      <c r="K215" s="548"/>
      <c r="L215" s="548"/>
      <c r="M215" s="548"/>
      <c r="N215" s="548"/>
      <c r="O215" s="548"/>
      <c r="P215" s="548"/>
      <c r="Q215" s="548"/>
      <c r="R215" s="540">
        <v>1</v>
      </c>
      <c r="S215" s="521"/>
      <c r="T215" s="521"/>
      <c r="U215" s="523"/>
      <c r="V215" s="506"/>
    </row>
    <row r="216" spans="1:22" s="507" customFormat="1" x14ac:dyDescent="0.35">
      <c r="A216" s="520"/>
      <c r="B216" s="521" t="s">
        <v>80</v>
      </c>
      <c r="C216" s="576"/>
      <c r="D216" s="576"/>
      <c r="E216" s="576"/>
      <c r="F216" s="576"/>
      <c r="G216" s="548"/>
      <c r="H216" s="548"/>
      <c r="I216" s="548"/>
      <c r="J216" s="548"/>
      <c r="K216" s="548"/>
      <c r="L216" s="548"/>
      <c r="M216" s="548"/>
      <c r="N216" s="548"/>
      <c r="O216" s="548"/>
      <c r="P216" s="548"/>
      <c r="Q216" s="548"/>
      <c r="R216" s="540">
        <v>1</v>
      </c>
      <c r="S216" s="521"/>
      <c r="T216" s="521"/>
      <c r="U216" s="523"/>
      <c r="V216" s="506"/>
    </row>
    <row r="217" spans="1:22" x14ac:dyDescent="0.35">
      <c r="A217" s="443"/>
      <c r="B217" s="423"/>
      <c r="C217" s="423"/>
      <c r="D217" s="423"/>
      <c r="E217" s="423"/>
      <c r="F217" s="423"/>
      <c r="G217" s="423"/>
      <c r="H217" s="423"/>
      <c r="I217" s="423"/>
      <c r="J217" s="423"/>
      <c r="K217" s="423"/>
      <c r="L217" s="423"/>
      <c r="M217" s="423"/>
      <c r="N217" s="423"/>
      <c r="O217" s="423"/>
      <c r="P217" s="423"/>
      <c r="Q217" s="423"/>
      <c r="R217" s="447"/>
      <c r="S217" s="423"/>
      <c r="T217" s="448"/>
      <c r="U217" s="423"/>
      <c r="V217" s="405"/>
    </row>
    <row r="218" spans="1:22" x14ac:dyDescent="0.35">
      <c r="A218" s="621"/>
      <c r="B218" s="610" t="s">
        <v>81</v>
      </c>
      <c r="C218" s="611"/>
      <c r="D218" s="611"/>
      <c r="E218" s="611"/>
      <c r="F218" s="627"/>
      <c r="G218" s="611"/>
      <c r="H218" s="611"/>
      <c r="I218" s="611"/>
      <c r="J218" s="611"/>
      <c r="K218" s="611"/>
      <c r="L218" s="611"/>
      <c r="M218" s="611"/>
      <c r="N218" s="611"/>
      <c r="O218" s="611"/>
      <c r="P218" s="611"/>
      <c r="Q218" s="611" t="s">
        <v>106</v>
      </c>
      <c r="R218" s="627" t="s">
        <v>113</v>
      </c>
      <c r="S218" s="628"/>
      <c r="T218" s="628"/>
      <c r="U218" s="614"/>
      <c r="V218" s="405"/>
    </row>
    <row r="219" spans="1:22" s="507" customFormat="1" x14ac:dyDescent="0.35">
      <c r="A219" s="622"/>
      <c r="B219" s="554" t="s">
        <v>82</v>
      </c>
      <c r="C219" s="571"/>
      <c r="D219" s="571"/>
      <c r="E219" s="571"/>
      <c r="F219" s="554"/>
      <c r="G219" s="554"/>
      <c r="H219" s="623"/>
      <c r="I219" s="623"/>
      <c r="J219" s="623"/>
      <c r="K219" s="623"/>
      <c r="L219" s="623"/>
      <c r="M219" s="623"/>
      <c r="N219" s="623"/>
      <c r="O219" s="623"/>
      <c r="P219" s="623"/>
      <c r="Q219" s="623">
        <v>0</v>
      </c>
      <c r="R219" s="624">
        <v>0</v>
      </c>
      <c r="S219" s="554"/>
      <c r="T219" s="625"/>
      <c r="U219" s="626"/>
      <c r="V219" s="506"/>
    </row>
    <row r="220" spans="1:22" s="507" customFormat="1" x14ac:dyDescent="0.35">
      <c r="A220" s="578"/>
      <c r="B220" s="521" t="s">
        <v>152</v>
      </c>
      <c r="C220" s="564"/>
      <c r="D220" s="564"/>
      <c r="E220" s="564"/>
      <c r="F220" s="521"/>
      <c r="G220" s="521"/>
      <c r="H220" s="527"/>
      <c r="I220" s="527"/>
      <c r="J220" s="527"/>
      <c r="K220" s="527"/>
      <c r="L220" s="527"/>
      <c r="M220" s="527"/>
      <c r="N220" s="527"/>
      <c r="O220" s="527"/>
      <c r="P220" s="527"/>
      <c r="Q220" s="579">
        <f>+P272</f>
        <v>0</v>
      </c>
      <c r="R220" s="580">
        <f>+R272</f>
        <v>0</v>
      </c>
      <c r="S220" s="521"/>
      <c r="T220" s="581"/>
      <c r="U220" s="582"/>
      <c r="V220" s="506"/>
    </row>
    <row r="221" spans="1:22" s="507" customFormat="1" x14ac:dyDescent="0.35">
      <c r="A221" s="578"/>
      <c r="B221" s="521" t="s">
        <v>83</v>
      </c>
      <c r="C221" s="564"/>
      <c r="D221" s="564"/>
      <c r="E221" s="564"/>
      <c r="F221" s="521"/>
      <c r="G221" s="521"/>
      <c r="H221" s="527"/>
      <c r="I221" s="527"/>
      <c r="J221" s="527"/>
      <c r="K221" s="527"/>
      <c r="L221" s="527"/>
      <c r="M221" s="527"/>
      <c r="N221" s="527"/>
      <c r="O221" s="527"/>
      <c r="P221" s="527"/>
      <c r="Q221" s="527">
        <v>0</v>
      </c>
      <c r="R221" s="580">
        <v>0</v>
      </c>
      <c r="S221" s="521"/>
      <c r="T221" s="581"/>
      <c r="U221" s="582"/>
      <c r="V221" s="506"/>
    </row>
    <row r="222" spans="1:22" x14ac:dyDescent="0.35">
      <c r="A222" s="449"/>
      <c r="B222" s="479" t="s">
        <v>84</v>
      </c>
      <c r="C222" s="451"/>
      <c r="D222" s="451"/>
      <c r="E222" s="451"/>
      <c r="F222" s="421"/>
      <c r="G222" s="421"/>
      <c r="H222" s="421"/>
      <c r="I222" s="421"/>
      <c r="J222" s="421"/>
      <c r="K222" s="421"/>
      <c r="L222" s="421"/>
      <c r="M222" s="421"/>
      <c r="N222" s="421"/>
      <c r="O222" s="421"/>
      <c r="P222" s="421"/>
      <c r="Q222" s="417"/>
      <c r="R222" s="580">
        <v>0</v>
      </c>
      <c r="S222" s="421"/>
      <c r="T222" s="452"/>
      <c r="U222" s="453"/>
      <c r="V222" s="405"/>
    </row>
    <row r="223" spans="1:22" x14ac:dyDescent="0.35">
      <c r="A223" s="449"/>
      <c r="B223" s="479" t="s">
        <v>85</v>
      </c>
      <c r="C223" s="451"/>
      <c r="D223" s="451"/>
      <c r="E223" s="451"/>
      <c r="F223" s="421"/>
      <c r="G223" s="421"/>
      <c r="H223" s="421"/>
      <c r="I223" s="421"/>
      <c r="J223" s="421"/>
      <c r="K223" s="421"/>
      <c r="L223" s="421"/>
      <c r="M223" s="421"/>
      <c r="N223" s="421"/>
      <c r="O223" s="421"/>
      <c r="P223" s="421"/>
      <c r="Q223" s="417"/>
      <c r="R223" s="585" t="s">
        <v>114</v>
      </c>
      <c r="S223" s="421"/>
      <c r="T223" s="452"/>
      <c r="U223" s="453"/>
      <c r="V223" s="405"/>
    </row>
    <row r="224" spans="1:22" x14ac:dyDescent="0.35">
      <c r="A224" s="454"/>
      <c r="B224" s="479" t="s">
        <v>86</v>
      </c>
      <c r="C224" s="455"/>
      <c r="D224" s="455"/>
      <c r="E224" s="455"/>
      <c r="F224" s="455"/>
      <c r="G224" s="421"/>
      <c r="H224" s="421"/>
      <c r="I224" s="421"/>
      <c r="J224" s="421"/>
      <c r="K224" s="421"/>
      <c r="L224" s="421"/>
      <c r="M224" s="421"/>
      <c r="N224" s="421"/>
      <c r="O224" s="421"/>
      <c r="P224" s="421"/>
      <c r="Q224" s="417"/>
      <c r="R224" s="580"/>
      <c r="S224" s="421"/>
      <c r="T224" s="452"/>
      <c r="U224" s="456"/>
      <c r="V224" s="405"/>
    </row>
    <row r="225" spans="1:23" s="507" customFormat="1" x14ac:dyDescent="0.35">
      <c r="A225" s="583"/>
      <c r="B225" s="521" t="s">
        <v>87</v>
      </c>
      <c r="C225" s="521"/>
      <c r="D225" s="521"/>
      <c r="E225" s="521"/>
      <c r="F225" s="521"/>
      <c r="G225" s="521"/>
      <c r="H225" s="521"/>
      <c r="I225" s="521"/>
      <c r="J225" s="521"/>
      <c r="K225" s="521"/>
      <c r="L225" s="521"/>
      <c r="M225" s="521"/>
      <c r="N225" s="521"/>
      <c r="O225" s="521"/>
      <c r="P225" s="521"/>
      <c r="Q225" s="527"/>
      <c r="R225" s="580">
        <f>+T169</f>
        <v>-3</v>
      </c>
      <c r="S225" s="521"/>
      <c r="T225" s="581"/>
      <c r="U225" s="584"/>
      <c r="V225" s="506"/>
    </row>
    <row r="226" spans="1:23" s="507" customFormat="1" x14ac:dyDescent="0.35">
      <c r="A226" s="578"/>
      <c r="B226" s="521" t="s">
        <v>88</v>
      </c>
      <c r="C226" s="564"/>
      <c r="D226" s="564"/>
      <c r="E226" s="564"/>
      <c r="F226" s="564"/>
      <c r="G226" s="521"/>
      <c r="H226" s="521"/>
      <c r="I226" s="521"/>
      <c r="J226" s="521"/>
      <c r="K226" s="521"/>
      <c r="L226" s="521"/>
      <c r="M226" s="521"/>
      <c r="N226" s="521"/>
      <c r="O226" s="521"/>
      <c r="P226" s="521"/>
      <c r="Q226" s="580"/>
      <c r="R226" s="580">
        <f>'May 20'!R225+R225</f>
        <v>8017</v>
      </c>
      <c r="S226" s="521"/>
      <c r="T226" s="581"/>
      <c r="U226" s="584"/>
      <c r="V226" s="506"/>
    </row>
    <row r="227" spans="1:23" x14ac:dyDescent="0.35">
      <c r="A227" s="454"/>
      <c r="B227" s="479" t="s">
        <v>295</v>
      </c>
      <c r="C227" s="455"/>
      <c r="D227" s="455"/>
      <c r="E227" s="455"/>
      <c r="F227" s="455"/>
      <c r="G227" s="421"/>
      <c r="H227" s="421"/>
      <c r="I227" s="421"/>
      <c r="J227" s="421"/>
      <c r="K227" s="421"/>
      <c r="L227" s="421"/>
      <c r="M227" s="421"/>
      <c r="N227" s="421"/>
      <c r="O227" s="421"/>
      <c r="P227" s="421"/>
      <c r="Q227" s="419"/>
      <c r="R227" s="450"/>
      <c r="S227" s="421"/>
      <c r="T227" s="452"/>
      <c r="U227" s="456"/>
      <c r="V227" s="405"/>
    </row>
    <row r="228" spans="1:23" s="507" customFormat="1" x14ac:dyDescent="0.35">
      <c r="A228" s="583"/>
      <c r="B228" s="521" t="s">
        <v>292</v>
      </c>
      <c r="C228" s="521"/>
      <c r="D228" s="521"/>
      <c r="E228" s="521"/>
      <c r="F228" s="521"/>
      <c r="G228" s="521"/>
      <c r="H228" s="521"/>
      <c r="I228" s="521"/>
      <c r="J228" s="521"/>
      <c r="K228" s="521"/>
      <c r="L228" s="521"/>
      <c r="M228" s="521"/>
      <c r="N228" s="521"/>
      <c r="O228" s="521"/>
      <c r="P228" s="521"/>
      <c r="Q228" s="527">
        <v>0</v>
      </c>
      <c r="R228" s="580">
        <v>0</v>
      </c>
      <c r="S228" s="521"/>
      <c r="T228" s="581"/>
      <c r="U228" s="584"/>
      <c r="V228" s="506"/>
    </row>
    <row r="229" spans="1:23" s="507" customFormat="1" x14ac:dyDescent="0.35">
      <c r="A229" s="578"/>
      <c r="B229" s="521" t="s">
        <v>90</v>
      </c>
      <c r="C229" s="543"/>
      <c r="D229" s="543"/>
      <c r="E229" s="543"/>
      <c r="F229" s="586"/>
      <c r="G229" s="521"/>
      <c r="H229" s="521"/>
      <c r="I229" s="521"/>
      <c r="J229" s="521"/>
      <c r="K229" s="521"/>
      <c r="L229" s="521"/>
      <c r="M229" s="521"/>
      <c r="N229" s="521"/>
      <c r="O229" s="521"/>
      <c r="P229" s="521"/>
      <c r="Q229" s="521"/>
      <c r="R229" s="585">
        <v>0</v>
      </c>
      <c r="S229" s="521"/>
      <c r="T229" s="581"/>
      <c r="U229" s="584"/>
      <c r="V229" s="506"/>
    </row>
    <row r="230" spans="1:23" s="507" customFormat="1" x14ac:dyDescent="0.35">
      <c r="A230" s="578"/>
      <c r="B230" s="521" t="s">
        <v>91</v>
      </c>
      <c r="C230" s="543"/>
      <c r="D230" s="543"/>
      <c r="E230" s="543"/>
      <c r="F230" s="586"/>
      <c r="G230" s="521"/>
      <c r="H230" s="521"/>
      <c r="I230" s="521"/>
      <c r="J230" s="521"/>
      <c r="K230" s="521"/>
      <c r="L230" s="521"/>
      <c r="M230" s="521"/>
      <c r="N230" s="521"/>
      <c r="O230" s="521"/>
      <c r="P230" s="521"/>
      <c r="Q230" s="521"/>
      <c r="R230" s="585">
        <v>0</v>
      </c>
      <c r="S230" s="521"/>
      <c r="T230" s="581"/>
      <c r="U230" s="584"/>
      <c r="V230" s="506"/>
    </row>
    <row r="231" spans="1:23" x14ac:dyDescent="0.35">
      <c r="A231" s="449"/>
      <c r="B231" s="479" t="s">
        <v>260</v>
      </c>
      <c r="C231" s="457"/>
      <c r="D231" s="457"/>
      <c r="E231" s="457"/>
      <c r="F231" s="458"/>
      <c r="G231" s="421"/>
      <c r="H231" s="421"/>
      <c r="I231" s="421"/>
      <c r="J231" s="421"/>
      <c r="K231" s="421"/>
      <c r="L231" s="421"/>
      <c r="M231" s="421"/>
      <c r="N231" s="421"/>
      <c r="O231" s="421"/>
      <c r="P231" s="421"/>
      <c r="Q231" s="417"/>
      <c r="R231" s="459"/>
      <c r="S231" s="421"/>
      <c r="T231" s="452"/>
      <c r="U231" s="456"/>
      <c r="V231" s="405"/>
    </row>
    <row r="232" spans="1:23" s="507" customFormat="1" x14ac:dyDescent="0.35">
      <c r="A232" s="578"/>
      <c r="B232" s="521" t="s">
        <v>292</v>
      </c>
      <c r="C232" s="543"/>
      <c r="D232" s="543"/>
      <c r="E232" s="543"/>
      <c r="F232" s="586"/>
      <c r="G232" s="521"/>
      <c r="H232" s="521"/>
      <c r="I232" s="521"/>
      <c r="J232" s="521"/>
      <c r="K232" s="521"/>
      <c r="L232" s="521"/>
      <c r="M232" s="521"/>
      <c r="N232" s="521"/>
      <c r="O232" s="521"/>
      <c r="P232" s="521"/>
      <c r="Q232" s="527">
        <v>0</v>
      </c>
      <c r="R232" s="580">
        <v>0</v>
      </c>
      <c r="S232" s="521"/>
      <c r="T232" s="581"/>
      <c r="U232" s="584"/>
      <c r="V232" s="506"/>
    </row>
    <row r="233" spans="1:23" s="507" customFormat="1" x14ac:dyDescent="0.35">
      <c r="A233" s="578"/>
      <c r="B233" s="521" t="s">
        <v>261</v>
      </c>
      <c r="C233" s="543"/>
      <c r="D233" s="543"/>
      <c r="E233" s="543"/>
      <c r="F233" s="586"/>
      <c r="G233" s="521"/>
      <c r="H233" s="521"/>
      <c r="I233" s="521"/>
      <c r="J233" s="521"/>
      <c r="K233" s="521"/>
      <c r="L233" s="521"/>
      <c r="M233" s="521"/>
      <c r="N233" s="521"/>
      <c r="O233" s="521"/>
      <c r="P233" s="521"/>
      <c r="Q233" s="521"/>
      <c r="R233" s="585">
        <v>0</v>
      </c>
      <c r="S233" s="521"/>
      <c r="T233" s="581"/>
      <c r="U233" s="584"/>
      <c r="V233" s="506"/>
    </row>
    <row r="234" spans="1:23" x14ac:dyDescent="0.35">
      <c r="A234" s="449"/>
      <c r="B234" s="455"/>
      <c r="C234" s="457"/>
      <c r="D234" s="457"/>
      <c r="E234" s="457"/>
      <c r="F234" s="458"/>
      <c r="G234" s="421"/>
      <c r="H234" s="421"/>
      <c r="I234" s="421"/>
      <c r="J234" s="421"/>
      <c r="K234" s="421"/>
      <c r="L234" s="421"/>
      <c r="M234" s="421"/>
      <c r="N234" s="421"/>
      <c r="O234" s="421"/>
      <c r="P234" s="421"/>
      <c r="Q234" s="417"/>
      <c r="R234" s="459"/>
      <c r="S234" s="421"/>
      <c r="T234" s="452"/>
      <c r="U234" s="456"/>
      <c r="V234" s="405"/>
    </row>
    <row r="235" spans="1:23" x14ac:dyDescent="0.35">
      <c r="A235" s="449"/>
      <c r="B235" s="455"/>
      <c r="C235" s="457"/>
      <c r="D235" s="457"/>
      <c r="E235" s="457"/>
      <c r="F235" s="458"/>
      <c r="G235" s="421"/>
      <c r="H235" s="421"/>
      <c r="I235" s="421"/>
      <c r="J235" s="421"/>
      <c r="K235" s="421"/>
      <c r="L235" s="421"/>
      <c r="M235" s="421"/>
      <c r="N235" s="421"/>
      <c r="O235" s="421"/>
      <c r="P235" s="421"/>
      <c r="Q235" s="421"/>
      <c r="R235" s="460"/>
      <c r="S235" s="421"/>
      <c r="T235" s="452"/>
      <c r="U235" s="456"/>
      <c r="V235" s="405"/>
    </row>
    <row r="236" spans="1:23" ht="18.5" x14ac:dyDescent="0.45">
      <c r="A236" s="449"/>
      <c r="B236" s="478" t="s">
        <v>178</v>
      </c>
      <c r="C236" s="457"/>
      <c r="D236" s="457"/>
      <c r="E236" s="457"/>
      <c r="F236" s="458"/>
      <c r="G236" s="421"/>
      <c r="H236" s="421"/>
      <c r="I236" s="421"/>
      <c r="J236" s="421"/>
      <c r="K236" s="421"/>
      <c r="L236" s="421"/>
      <c r="M236" s="421"/>
      <c r="N236" s="475" t="s">
        <v>361</v>
      </c>
      <c r="O236" s="421"/>
      <c r="P236" s="421"/>
      <c r="Q236" s="421"/>
      <c r="R236" s="460"/>
      <c r="S236" s="421"/>
      <c r="T236" s="452"/>
      <c r="U236" s="456"/>
      <c r="V236" s="405"/>
    </row>
    <row r="237" spans="1:23" x14ac:dyDescent="0.35">
      <c r="A237" s="461"/>
      <c r="B237" s="462"/>
      <c r="C237" s="463"/>
      <c r="D237" s="463"/>
      <c r="E237" s="463"/>
      <c r="F237" s="464"/>
      <c r="G237" s="427"/>
      <c r="H237" s="427"/>
      <c r="I237" s="427"/>
      <c r="J237" s="427"/>
      <c r="K237" s="427"/>
      <c r="L237" s="427"/>
      <c r="M237" s="427"/>
      <c r="N237" s="427"/>
      <c r="O237" s="427"/>
      <c r="P237" s="427"/>
      <c r="Q237" s="427"/>
      <c r="R237" s="465"/>
      <c r="S237" s="427"/>
      <c r="T237" s="466"/>
      <c r="U237" s="467"/>
      <c r="V237" s="405"/>
    </row>
    <row r="238" spans="1:23" x14ac:dyDescent="0.35">
      <c r="A238" s="599"/>
      <c r="B238" s="610" t="s">
        <v>307</v>
      </c>
      <c r="C238" s="611"/>
      <c r="D238" s="611"/>
      <c r="E238" s="611"/>
      <c r="F238" s="627"/>
      <c r="G238" s="611"/>
      <c r="H238" s="611"/>
      <c r="I238" s="611"/>
      <c r="J238" s="611"/>
      <c r="K238" s="611"/>
      <c r="L238" s="611"/>
      <c r="M238" s="611"/>
      <c r="N238" s="611"/>
      <c r="O238" s="611"/>
      <c r="P238" s="627" t="s">
        <v>106</v>
      </c>
      <c r="Q238" s="611" t="s">
        <v>107</v>
      </c>
      <c r="R238" s="627" t="s">
        <v>115</v>
      </c>
      <c r="S238" s="611" t="s">
        <v>107</v>
      </c>
      <c r="T238" s="628"/>
      <c r="U238" s="631"/>
      <c r="V238" s="405"/>
    </row>
    <row r="239" spans="1:23" s="507" customFormat="1" x14ac:dyDescent="0.35">
      <c r="A239" s="508"/>
      <c r="B239" s="571" t="s">
        <v>92</v>
      </c>
      <c r="C239" s="629"/>
      <c r="D239" s="629"/>
      <c r="E239" s="629"/>
      <c r="F239" s="554"/>
      <c r="G239" s="629"/>
      <c r="H239" s="629"/>
      <c r="I239" s="629"/>
      <c r="J239" s="629"/>
      <c r="K239" s="629"/>
      <c r="L239" s="629"/>
      <c r="M239" s="629"/>
      <c r="N239" s="629"/>
      <c r="O239" s="629"/>
      <c r="P239" s="571">
        <f t="shared" ref="P239:P246" si="1">+P251+P263+P285</f>
        <v>0</v>
      </c>
      <c r="Q239" s="589">
        <v>0</v>
      </c>
      <c r="R239" s="594">
        <f t="shared" ref="R239:R246" si="2">+R251+R263+R285</f>
        <v>0</v>
      </c>
      <c r="S239" s="589">
        <v>0</v>
      </c>
      <c r="T239" s="625"/>
      <c r="U239" s="630"/>
      <c r="V239" s="506"/>
    </row>
    <row r="240" spans="1:23" s="507" customFormat="1" x14ac:dyDescent="0.35">
      <c r="A240" s="520"/>
      <c r="B240" s="564" t="s">
        <v>93</v>
      </c>
      <c r="C240" s="588"/>
      <c r="D240" s="588"/>
      <c r="E240" s="588"/>
      <c r="F240" s="521"/>
      <c r="G240" s="587"/>
      <c r="H240" s="588"/>
      <c r="I240" s="588"/>
      <c r="J240" s="588"/>
      <c r="K240" s="588"/>
      <c r="L240" s="588"/>
      <c r="M240" s="588"/>
      <c r="N240" s="588"/>
      <c r="O240" s="588"/>
      <c r="P240" s="564">
        <f t="shared" si="1"/>
        <v>0</v>
      </c>
      <c r="Q240" s="587">
        <v>0</v>
      </c>
      <c r="R240" s="565">
        <f t="shared" si="2"/>
        <v>0</v>
      </c>
      <c r="S240" s="587">
        <v>0</v>
      </c>
      <c r="T240" s="581"/>
      <c r="U240" s="584"/>
      <c r="V240" s="506"/>
      <c r="W240" s="570"/>
    </row>
    <row r="241" spans="1:23" s="507" customFormat="1" x14ac:dyDescent="0.35">
      <c r="A241" s="520"/>
      <c r="B241" s="564" t="s">
        <v>94</v>
      </c>
      <c r="C241" s="588"/>
      <c r="D241" s="588"/>
      <c r="E241" s="588"/>
      <c r="F241" s="521"/>
      <c r="G241" s="587"/>
      <c r="H241" s="588"/>
      <c r="I241" s="588"/>
      <c r="J241" s="588"/>
      <c r="K241" s="588"/>
      <c r="L241" s="588"/>
      <c r="M241" s="588"/>
      <c r="N241" s="588"/>
      <c r="O241" s="588"/>
      <c r="P241" s="564">
        <f t="shared" si="1"/>
        <v>0</v>
      </c>
      <c r="Q241" s="587">
        <v>0</v>
      </c>
      <c r="R241" s="565">
        <f t="shared" si="2"/>
        <v>0</v>
      </c>
      <c r="S241" s="587">
        <v>0</v>
      </c>
      <c r="T241" s="581"/>
      <c r="U241" s="584"/>
      <c r="V241" s="506"/>
    </row>
    <row r="242" spans="1:23" s="507" customFormat="1" x14ac:dyDescent="0.35">
      <c r="A242" s="520"/>
      <c r="B242" s="564" t="s">
        <v>164</v>
      </c>
      <c r="C242" s="588"/>
      <c r="D242" s="588"/>
      <c r="E242" s="588"/>
      <c r="F242" s="521"/>
      <c r="G242" s="587"/>
      <c r="H242" s="588"/>
      <c r="I242" s="588"/>
      <c r="J242" s="588"/>
      <c r="K242" s="588"/>
      <c r="L242" s="588"/>
      <c r="M242" s="588"/>
      <c r="N242" s="588"/>
      <c r="O242" s="588"/>
      <c r="P242" s="564">
        <f t="shared" si="1"/>
        <v>0</v>
      </c>
      <c r="Q242" s="587">
        <v>0</v>
      </c>
      <c r="R242" s="565">
        <f t="shared" si="2"/>
        <v>0</v>
      </c>
      <c r="S242" s="587">
        <v>0</v>
      </c>
      <c r="T242" s="581"/>
      <c r="U242" s="584"/>
      <c r="V242" s="506"/>
      <c r="W242" s="570"/>
    </row>
    <row r="243" spans="1:23" s="507" customFormat="1" x14ac:dyDescent="0.35">
      <c r="A243" s="520"/>
      <c r="B243" s="564" t="s">
        <v>165</v>
      </c>
      <c r="C243" s="588"/>
      <c r="D243" s="588"/>
      <c r="E243" s="588"/>
      <c r="F243" s="521"/>
      <c r="G243" s="587"/>
      <c r="H243" s="588"/>
      <c r="I243" s="588"/>
      <c r="J243" s="588"/>
      <c r="K243" s="588"/>
      <c r="L243" s="588"/>
      <c r="M243" s="588"/>
      <c r="N243" s="588"/>
      <c r="O243" s="588"/>
      <c r="P243" s="564">
        <f t="shared" si="1"/>
        <v>0</v>
      </c>
      <c r="Q243" s="587">
        <v>0</v>
      </c>
      <c r="R243" s="565">
        <f t="shared" si="2"/>
        <v>0</v>
      </c>
      <c r="S243" s="587">
        <v>0</v>
      </c>
      <c r="T243" s="581"/>
      <c r="U243" s="584"/>
      <c r="V243" s="506"/>
    </row>
    <row r="244" spans="1:23" s="507" customFormat="1" x14ac:dyDescent="0.35">
      <c r="A244" s="520"/>
      <c r="B244" s="564" t="s">
        <v>166</v>
      </c>
      <c r="C244" s="588"/>
      <c r="D244" s="588"/>
      <c r="E244" s="588"/>
      <c r="F244" s="521"/>
      <c r="G244" s="587"/>
      <c r="H244" s="588"/>
      <c r="I244" s="588"/>
      <c r="J244" s="588"/>
      <c r="K244" s="588"/>
      <c r="L244" s="588"/>
      <c r="M244" s="588"/>
      <c r="N244" s="588"/>
      <c r="O244" s="588"/>
      <c r="P244" s="564">
        <f t="shared" si="1"/>
        <v>0</v>
      </c>
      <c r="Q244" s="587">
        <v>0</v>
      </c>
      <c r="R244" s="565">
        <f t="shared" si="2"/>
        <v>0</v>
      </c>
      <c r="S244" s="587">
        <v>0</v>
      </c>
      <c r="T244" s="581"/>
      <c r="U244" s="584"/>
      <c r="V244" s="506"/>
      <c r="W244" s="570"/>
    </row>
    <row r="245" spans="1:23" s="507" customFormat="1" x14ac:dyDescent="0.35">
      <c r="A245" s="520"/>
      <c r="B245" s="564" t="s">
        <v>167</v>
      </c>
      <c r="C245" s="588"/>
      <c r="D245" s="588"/>
      <c r="E245" s="588"/>
      <c r="F245" s="521"/>
      <c r="G245" s="587"/>
      <c r="H245" s="588"/>
      <c r="I245" s="588"/>
      <c r="J245" s="588"/>
      <c r="K245" s="588"/>
      <c r="L245" s="588"/>
      <c r="M245" s="588"/>
      <c r="N245" s="588"/>
      <c r="O245" s="588"/>
      <c r="P245" s="564">
        <f t="shared" si="1"/>
        <v>0</v>
      </c>
      <c r="Q245" s="587">
        <v>0</v>
      </c>
      <c r="R245" s="565">
        <f t="shared" si="2"/>
        <v>0</v>
      </c>
      <c r="S245" s="587">
        <v>0</v>
      </c>
      <c r="T245" s="581"/>
      <c r="U245" s="584"/>
      <c r="V245" s="506"/>
    </row>
    <row r="246" spans="1:23" s="507" customFormat="1" x14ac:dyDescent="0.35">
      <c r="A246" s="520"/>
      <c r="B246" s="564" t="s">
        <v>168</v>
      </c>
      <c r="C246" s="588"/>
      <c r="D246" s="588"/>
      <c r="E246" s="588"/>
      <c r="F246" s="521"/>
      <c r="G246" s="587"/>
      <c r="H246" s="588"/>
      <c r="I246" s="588"/>
      <c r="J246" s="588"/>
      <c r="K246" s="588"/>
      <c r="L246" s="588"/>
      <c r="M246" s="588"/>
      <c r="N246" s="588"/>
      <c r="O246" s="588"/>
      <c r="P246" s="564">
        <f t="shared" si="1"/>
        <v>0</v>
      </c>
      <c r="Q246" s="587">
        <v>0</v>
      </c>
      <c r="R246" s="565">
        <f t="shared" si="2"/>
        <v>0</v>
      </c>
      <c r="S246" s="589">
        <v>0</v>
      </c>
      <c r="T246" s="581"/>
      <c r="U246" s="584"/>
      <c r="V246" s="506"/>
      <c r="W246" s="570"/>
    </row>
    <row r="247" spans="1:23" s="507" customFormat="1" x14ac:dyDescent="0.35">
      <c r="A247" s="520"/>
      <c r="B247" s="564"/>
      <c r="C247" s="588"/>
      <c r="D247" s="588"/>
      <c r="E247" s="588"/>
      <c r="F247" s="521"/>
      <c r="G247" s="587"/>
      <c r="H247" s="588"/>
      <c r="I247" s="588"/>
      <c r="J247" s="588"/>
      <c r="K247" s="588"/>
      <c r="L247" s="588"/>
      <c r="M247" s="588"/>
      <c r="N247" s="588"/>
      <c r="O247" s="588"/>
      <c r="P247" s="564"/>
      <c r="Q247" s="587"/>
      <c r="R247" s="565"/>
      <c r="S247" s="587"/>
      <c r="T247" s="581"/>
      <c r="U247" s="584"/>
      <c r="V247" s="506"/>
    </row>
    <row r="248" spans="1:23" s="507" customFormat="1" x14ac:dyDescent="0.35">
      <c r="A248" s="520"/>
      <c r="B248" s="521" t="s">
        <v>121</v>
      </c>
      <c r="C248" s="521"/>
      <c r="D248" s="521"/>
      <c r="E248" s="521"/>
      <c r="F248" s="521"/>
      <c r="G248" s="521"/>
      <c r="H248" s="590"/>
      <c r="I248" s="590"/>
      <c r="J248" s="590"/>
      <c r="K248" s="590"/>
      <c r="L248" s="590"/>
      <c r="M248" s="590"/>
      <c r="N248" s="590"/>
      <c r="O248" s="590"/>
      <c r="P248" s="564">
        <f>SUM(P239:P247)</f>
        <v>0</v>
      </c>
      <c r="Q248" s="587">
        <f>SUM(Q239:Q247)</f>
        <v>0</v>
      </c>
      <c r="R248" s="565">
        <f>SUM(R239:R247)</f>
        <v>0</v>
      </c>
      <c r="S248" s="587">
        <f>SUM(S239:S247)</f>
        <v>0</v>
      </c>
      <c r="T248" s="521"/>
      <c r="U248" s="523"/>
      <c r="V248" s="506"/>
    </row>
    <row r="249" spans="1:23" x14ac:dyDescent="0.35">
      <c r="A249" s="407"/>
      <c r="B249" s="423"/>
      <c r="C249" s="423"/>
      <c r="D249" s="423"/>
      <c r="E249" s="423"/>
      <c r="F249" s="423"/>
      <c r="G249" s="423"/>
      <c r="H249" s="468"/>
      <c r="I249" s="468"/>
      <c r="J249" s="468"/>
      <c r="K249" s="468"/>
      <c r="L249" s="468"/>
      <c r="M249" s="468"/>
      <c r="N249" s="468"/>
      <c r="O249" s="468"/>
      <c r="P249" s="435"/>
      <c r="Q249" s="469"/>
      <c r="R249" s="470"/>
      <c r="S249" s="469"/>
      <c r="T249" s="423"/>
      <c r="U249" s="423"/>
      <c r="V249" s="405"/>
    </row>
    <row r="250" spans="1:23" x14ac:dyDescent="0.35">
      <c r="A250" s="599"/>
      <c r="B250" s="610" t="s">
        <v>171</v>
      </c>
      <c r="C250" s="611"/>
      <c r="D250" s="611"/>
      <c r="E250" s="611"/>
      <c r="F250" s="627"/>
      <c r="G250" s="611"/>
      <c r="H250" s="611"/>
      <c r="I250" s="611"/>
      <c r="J250" s="611"/>
      <c r="K250" s="611"/>
      <c r="L250" s="611"/>
      <c r="M250" s="611"/>
      <c r="N250" s="611"/>
      <c r="O250" s="611"/>
      <c r="P250" s="627" t="s">
        <v>106</v>
      </c>
      <c r="Q250" s="611" t="s">
        <v>107</v>
      </c>
      <c r="R250" s="627" t="s">
        <v>115</v>
      </c>
      <c r="S250" s="611" t="s">
        <v>107</v>
      </c>
      <c r="T250" s="628"/>
      <c r="U250" s="631"/>
      <c r="V250" s="405"/>
    </row>
    <row r="251" spans="1:23" s="507" customFormat="1" x14ac:dyDescent="0.35">
      <c r="A251" s="508"/>
      <c r="B251" s="571" t="s">
        <v>92</v>
      </c>
      <c r="C251" s="629"/>
      <c r="D251" s="629"/>
      <c r="E251" s="629"/>
      <c r="F251" s="554"/>
      <c r="G251" s="629"/>
      <c r="H251" s="629"/>
      <c r="I251" s="629"/>
      <c r="J251" s="629"/>
      <c r="K251" s="629"/>
      <c r="L251" s="629"/>
      <c r="M251" s="629"/>
      <c r="N251" s="629"/>
      <c r="O251" s="629"/>
      <c r="P251" s="571">
        <v>0</v>
      </c>
      <c r="Q251" s="632">
        <v>0</v>
      </c>
      <c r="R251" s="594">
        <v>0</v>
      </c>
      <c r="S251" s="632">
        <v>0</v>
      </c>
      <c r="T251" s="625"/>
      <c r="U251" s="630"/>
      <c r="V251" s="506"/>
    </row>
    <row r="252" spans="1:23" s="507" customFormat="1" x14ac:dyDescent="0.35">
      <c r="A252" s="520"/>
      <c r="B252" s="564" t="s">
        <v>93</v>
      </c>
      <c r="C252" s="588"/>
      <c r="D252" s="588"/>
      <c r="E252" s="588"/>
      <c r="F252" s="521"/>
      <c r="G252" s="587"/>
      <c r="H252" s="588"/>
      <c r="I252" s="588"/>
      <c r="J252" s="588"/>
      <c r="K252" s="588"/>
      <c r="L252" s="588"/>
      <c r="M252" s="588"/>
      <c r="N252" s="588"/>
      <c r="O252" s="588"/>
      <c r="P252" s="564">
        <v>0</v>
      </c>
      <c r="Q252" s="587">
        <v>0</v>
      </c>
      <c r="R252" s="565">
        <v>0</v>
      </c>
      <c r="S252" s="587">
        <v>0</v>
      </c>
      <c r="T252" s="581"/>
      <c r="U252" s="584"/>
      <c r="V252" s="506"/>
      <c r="W252" s="570"/>
    </row>
    <row r="253" spans="1:23" s="507" customFormat="1" x14ac:dyDescent="0.35">
      <c r="A253" s="520"/>
      <c r="B253" s="564" t="s">
        <v>94</v>
      </c>
      <c r="C253" s="588"/>
      <c r="D253" s="588"/>
      <c r="E253" s="588"/>
      <c r="F253" s="521"/>
      <c r="G253" s="587"/>
      <c r="H253" s="588"/>
      <c r="I253" s="588"/>
      <c r="J253" s="588"/>
      <c r="K253" s="588"/>
      <c r="L253" s="588"/>
      <c r="M253" s="588"/>
      <c r="N253" s="588"/>
      <c r="O253" s="588"/>
      <c r="P253" s="564">
        <v>0</v>
      </c>
      <c r="Q253" s="587">
        <v>0</v>
      </c>
      <c r="R253" s="565">
        <v>0</v>
      </c>
      <c r="S253" s="587">
        <v>0</v>
      </c>
      <c r="T253" s="581"/>
      <c r="U253" s="584"/>
      <c r="V253" s="506"/>
    </row>
    <row r="254" spans="1:23" s="507" customFormat="1" x14ac:dyDescent="0.35">
      <c r="A254" s="520"/>
      <c r="B254" s="564" t="s">
        <v>164</v>
      </c>
      <c r="C254" s="588"/>
      <c r="D254" s="588"/>
      <c r="E254" s="588"/>
      <c r="F254" s="521"/>
      <c r="G254" s="587"/>
      <c r="H254" s="588"/>
      <c r="I254" s="588"/>
      <c r="J254" s="588"/>
      <c r="K254" s="588"/>
      <c r="L254" s="588"/>
      <c r="M254" s="588"/>
      <c r="N254" s="588"/>
      <c r="O254" s="588"/>
      <c r="P254" s="564">
        <v>0</v>
      </c>
      <c r="Q254" s="587">
        <v>0</v>
      </c>
      <c r="R254" s="565">
        <v>0</v>
      </c>
      <c r="S254" s="587">
        <v>0</v>
      </c>
      <c r="T254" s="581"/>
      <c r="U254" s="584"/>
      <c r="V254" s="506"/>
      <c r="W254" s="570"/>
    </row>
    <row r="255" spans="1:23" s="507" customFormat="1" x14ac:dyDescent="0.35">
      <c r="A255" s="520"/>
      <c r="B255" s="564" t="s">
        <v>165</v>
      </c>
      <c r="C255" s="588"/>
      <c r="D255" s="588"/>
      <c r="E255" s="588"/>
      <c r="F255" s="521"/>
      <c r="G255" s="587"/>
      <c r="H255" s="588"/>
      <c r="I255" s="588"/>
      <c r="J255" s="588"/>
      <c r="K255" s="588"/>
      <c r="L255" s="588"/>
      <c r="M255" s="588"/>
      <c r="N255" s="588"/>
      <c r="O255" s="588"/>
      <c r="P255" s="564">
        <v>0</v>
      </c>
      <c r="Q255" s="587">
        <v>0</v>
      </c>
      <c r="R255" s="565">
        <v>0</v>
      </c>
      <c r="S255" s="587">
        <v>0</v>
      </c>
      <c r="T255" s="581"/>
      <c r="U255" s="584"/>
      <c r="V255" s="506"/>
    </row>
    <row r="256" spans="1:23" s="507" customFormat="1" x14ac:dyDescent="0.35">
      <c r="A256" s="520"/>
      <c r="B256" s="564" t="s">
        <v>166</v>
      </c>
      <c r="C256" s="588"/>
      <c r="D256" s="588"/>
      <c r="E256" s="588"/>
      <c r="F256" s="521"/>
      <c r="G256" s="587"/>
      <c r="H256" s="588"/>
      <c r="I256" s="588"/>
      <c r="J256" s="588"/>
      <c r="K256" s="588"/>
      <c r="L256" s="588"/>
      <c r="M256" s="588"/>
      <c r="N256" s="588"/>
      <c r="O256" s="588"/>
      <c r="P256" s="564">
        <v>0</v>
      </c>
      <c r="Q256" s="587">
        <v>0</v>
      </c>
      <c r="R256" s="565">
        <v>0</v>
      </c>
      <c r="S256" s="587">
        <v>0</v>
      </c>
      <c r="T256" s="581"/>
      <c r="U256" s="584"/>
      <c r="V256" s="506"/>
      <c r="W256" s="570"/>
    </row>
    <row r="257" spans="1:23" s="507" customFormat="1" x14ac:dyDescent="0.35">
      <c r="A257" s="520"/>
      <c r="B257" s="564" t="s">
        <v>167</v>
      </c>
      <c r="C257" s="588"/>
      <c r="D257" s="588"/>
      <c r="E257" s="588"/>
      <c r="F257" s="521"/>
      <c r="G257" s="587"/>
      <c r="H257" s="588"/>
      <c r="I257" s="588"/>
      <c r="J257" s="588"/>
      <c r="K257" s="588"/>
      <c r="L257" s="588"/>
      <c r="M257" s="588"/>
      <c r="N257" s="588"/>
      <c r="O257" s="588"/>
      <c r="P257" s="564">
        <v>0</v>
      </c>
      <c r="Q257" s="587">
        <v>0</v>
      </c>
      <c r="R257" s="565">
        <v>0</v>
      </c>
      <c r="S257" s="587">
        <v>0</v>
      </c>
      <c r="T257" s="581"/>
      <c r="U257" s="584"/>
      <c r="V257" s="506"/>
    </row>
    <row r="258" spans="1:23" s="507" customFormat="1" x14ac:dyDescent="0.35">
      <c r="A258" s="520"/>
      <c r="B258" s="564" t="s">
        <v>168</v>
      </c>
      <c r="C258" s="588"/>
      <c r="D258" s="588"/>
      <c r="E258" s="588"/>
      <c r="F258" s="521"/>
      <c r="G258" s="587"/>
      <c r="H258" s="588"/>
      <c r="I258" s="588"/>
      <c r="J258" s="588"/>
      <c r="K258" s="588"/>
      <c r="L258" s="588"/>
      <c r="M258" s="588"/>
      <c r="N258" s="588"/>
      <c r="O258" s="588"/>
      <c r="P258" s="564">
        <v>0</v>
      </c>
      <c r="Q258" s="587">
        <v>0</v>
      </c>
      <c r="R258" s="565">
        <v>0</v>
      </c>
      <c r="S258" s="587">
        <v>0</v>
      </c>
      <c r="T258" s="581"/>
      <c r="U258" s="584"/>
      <c r="V258" s="506"/>
      <c r="W258" s="570"/>
    </row>
    <row r="259" spans="1:23" s="507" customFormat="1" x14ac:dyDescent="0.35">
      <c r="A259" s="520"/>
      <c r="B259" s="564"/>
      <c r="C259" s="588"/>
      <c r="D259" s="588"/>
      <c r="E259" s="588"/>
      <c r="F259" s="521"/>
      <c r="G259" s="587"/>
      <c r="H259" s="588"/>
      <c r="I259" s="588"/>
      <c r="J259" s="588"/>
      <c r="K259" s="588"/>
      <c r="L259" s="588"/>
      <c r="M259" s="588"/>
      <c r="N259" s="588"/>
      <c r="O259" s="588"/>
      <c r="P259" s="564"/>
      <c r="Q259" s="587"/>
      <c r="R259" s="565"/>
      <c r="S259" s="587"/>
      <c r="T259" s="581"/>
      <c r="U259" s="584"/>
      <c r="V259" s="506"/>
    </row>
    <row r="260" spans="1:23" s="507" customFormat="1" x14ac:dyDescent="0.35">
      <c r="A260" s="520"/>
      <c r="B260" s="521" t="s">
        <v>121</v>
      </c>
      <c r="C260" s="521"/>
      <c r="D260" s="521"/>
      <c r="E260" s="521"/>
      <c r="F260" s="521"/>
      <c r="G260" s="521"/>
      <c r="H260" s="590"/>
      <c r="I260" s="590"/>
      <c r="J260" s="590"/>
      <c r="K260" s="590"/>
      <c r="L260" s="590"/>
      <c r="M260" s="590"/>
      <c r="N260" s="590"/>
      <c r="O260" s="590"/>
      <c r="P260" s="564">
        <f>SUM(P251:P259)</f>
        <v>0</v>
      </c>
      <c r="Q260" s="587">
        <f>SUM(Q251:Q259)</f>
        <v>0</v>
      </c>
      <c r="R260" s="565">
        <f>SUM(R251:R259)</f>
        <v>0</v>
      </c>
      <c r="S260" s="587">
        <f>SUM(S251:S259)</f>
        <v>0</v>
      </c>
      <c r="T260" s="521"/>
      <c r="U260" s="523"/>
      <c r="V260" s="506"/>
    </row>
    <row r="261" spans="1:23" x14ac:dyDescent="0.35">
      <c r="A261" s="407"/>
      <c r="B261" s="423"/>
      <c r="C261" s="423"/>
      <c r="D261" s="423"/>
      <c r="E261" s="423"/>
      <c r="F261" s="423"/>
      <c r="G261" s="423"/>
      <c r="H261" s="468"/>
      <c r="I261" s="468"/>
      <c r="J261" s="468"/>
      <c r="K261" s="468"/>
      <c r="L261" s="468"/>
      <c r="M261" s="468"/>
      <c r="N261" s="468"/>
      <c r="O261" s="468"/>
      <c r="P261" s="435"/>
      <c r="Q261" s="469"/>
      <c r="R261" s="470"/>
      <c r="S261" s="469"/>
      <c r="T261" s="423"/>
      <c r="U261" s="423"/>
      <c r="V261" s="405"/>
    </row>
    <row r="262" spans="1:23" x14ac:dyDescent="0.35">
      <c r="A262" s="599"/>
      <c r="B262" s="610" t="s">
        <v>275</v>
      </c>
      <c r="C262" s="611"/>
      <c r="D262" s="611"/>
      <c r="E262" s="611"/>
      <c r="F262" s="627"/>
      <c r="G262" s="611"/>
      <c r="H262" s="611"/>
      <c r="I262" s="611"/>
      <c r="J262" s="611"/>
      <c r="K262" s="611"/>
      <c r="L262" s="611"/>
      <c r="M262" s="611"/>
      <c r="N262" s="611"/>
      <c r="O262" s="611"/>
      <c r="P262" s="627" t="s">
        <v>106</v>
      </c>
      <c r="Q262" s="611" t="s">
        <v>107</v>
      </c>
      <c r="R262" s="627" t="s">
        <v>115</v>
      </c>
      <c r="S262" s="611" t="s">
        <v>107</v>
      </c>
      <c r="T262" s="628"/>
      <c r="U262" s="614"/>
      <c r="V262" s="405"/>
    </row>
    <row r="263" spans="1:23" s="507" customFormat="1" x14ac:dyDescent="0.35">
      <c r="A263" s="508"/>
      <c r="B263" s="571" t="s">
        <v>92</v>
      </c>
      <c r="C263" s="629"/>
      <c r="D263" s="629"/>
      <c r="E263" s="629"/>
      <c r="F263" s="554"/>
      <c r="G263" s="629"/>
      <c r="H263" s="629"/>
      <c r="I263" s="629"/>
      <c r="J263" s="629"/>
      <c r="K263" s="629"/>
      <c r="L263" s="629"/>
      <c r="M263" s="629"/>
      <c r="N263" s="629"/>
      <c r="O263" s="629"/>
      <c r="P263" s="571">
        <v>0</v>
      </c>
      <c r="Q263" s="632">
        <v>0</v>
      </c>
      <c r="R263" s="594">
        <v>0</v>
      </c>
      <c r="S263" s="632">
        <v>0</v>
      </c>
      <c r="T263" s="554"/>
      <c r="U263" s="554"/>
      <c r="V263" s="506"/>
    </row>
    <row r="264" spans="1:23" s="507" customFormat="1" x14ac:dyDescent="0.35">
      <c r="A264" s="520"/>
      <c r="B264" s="564" t="s">
        <v>93</v>
      </c>
      <c r="C264" s="588"/>
      <c r="D264" s="588"/>
      <c r="E264" s="588"/>
      <c r="F264" s="521"/>
      <c r="G264" s="587"/>
      <c r="H264" s="588"/>
      <c r="I264" s="588"/>
      <c r="J264" s="588"/>
      <c r="K264" s="588"/>
      <c r="L264" s="588"/>
      <c r="M264" s="588"/>
      <c r="N264" s="588"/>
      <c r="O264" s="588"/>
      <c r="P264" s="564">
        <v>0</v>
      </c>
      <c r="Q264" s="587">
        <v>0</v>
      </c>
      <c r="R264" s="565">
        <v>0</v>
      </c>
      <c r="S264" s="587">
        <v>0</v>
      </c>
      <c r="T264" s="521"/>
      <c r="U264" s="523"/>
      <c r="V264" s="506"/>
    </row>
    <row r="265" spans="1:23" s="507" customFormat="1" x14ac:dyDescent="0.35">
      <c r="A265" s="520"/>
      <c r="B265" s="564" t="s">
        <v>94</v>
      </c>
      <c r="C265" s="588"/>
      <c r="D265" s="588"/>
      <c r="E265" s="588"/>
      <c r="F265" s="521"/>
      <c r="G265" s="587"/>
      <c r="H265" s="588"/>
      <c r="I265" s="588"/>
      <c r="J265" s="588"/>
      <c r="K265" s="588"/>
      <c r="L265" s="588"/>
      <c r="M265" s="588"/>
      <c r="N265" s="588"/>
      <c r="O265" s="588"/>
      <c r="P265" s="564">
        <v>0</v>
      </c>
      <c r="Q265" s="587">
        <v>0</v>
      </c>
      <c r="R265" s="565">
        <v>0</v>
      </c>
      <c r="S265" s="587">
        <v>0</v>
      </c>
      <c r="T265" s="521"/>
      <c r="U265" s="523"/>
      <c r="V265" s="506"/>
    </row>
    <row r="266" spans="1:23" s="507" customFormat="1" x14ac:dyDescent="0.35">
      <c r="A266" s="520"/>
      <c r="B266" s="564" t="s">
        <v>164</v>
      </c>
      <c r="C266" s="588"/>
      <c r="D266" s="588"/>
      <c r="E266" s="588"/>
      <c r="F266" s="521"/>
      <c r="G266" s="587"/>
      <c r="H266" s="588"/>
      <c r="I266" s="588"/>
      <c r="J266" s="588"/>
      <c r="K266" s="588"/>
      <c r="L266" s="588"/>
      <c r="M266" s="588"/>
      <c r="N266" s="588"/>
      <c r="O266" s="588"/>
      <c r="P266" s="564">
        <v>0</v>
      </c>
      <c r="Q266" s="587">
        <v>0</v>
      </c>
      <c r="R266" s="565">
        <v>0</v>
      </c>
      <c r="S266" s="587">
        <v>0</v>
      </c>
      <c r="T266" s="521"/>
      <c r="U266" s="523"/>
      <c r="V266" s="506"/>
    </row>
    <row r="267" spans="1:23" s="507" customFormat="1" x14ac:dyDescent="0.35">
      <c r="A267" s="520"/>
      <c r="B267" s="564" t="s">
        <v>165</v>
      </c>
      <c r="C267" s="588"/>
      <c r="D267" s="588"/>
      <c r="E267" s="588"/>
      <c r="F267" s="521"/>
      <c r="G267" s="587"/>
      <c r="H267" s="588"/>
      <c r="I267" s="588"/>
      <c r="J267" s="588"/>
      <c r="K267" s="588"/>
      <c r="L267" s="588"/>
      <c r="M267" s="588"/>
      <c r="N267" s="588"/>
      <c r="O267" s="588"/>
      <c r="P267" s="564">
        <v>0</v>
      </c>
      <c r="Q267" s="587">
        <v>0</v>
      </c>
      <c r="R267" s="565">
        <v>0</v>
      </c>
      <c r="S267" s="587">
        <v>0</v>
      </c>
      <c r="T267" s="521"/>
      <c r="U267" s="523"/>
      <c r="V267" s="506"/>
    </row>
    <row r="268" spans="1:23" s="507" customFormat="1" x14ac:dyDescent="0.35">
      <c r="A268" s="520"/>
      <c r="B268" s="564" t="s">
        <v>166</v>
      </c>
      <c r="C268" s="588"/>
      <c r="D268" s="588"/>
      <c r="E268" s="588"/>
      <c r="F268" s="521"/>
      <c r="G268" s="587"/>
      <c r="H268" s="588"/>
      <c r="I268" s="588"/>
      <c r="J268" s="588"/>
      <c r="K268" s="588"/>
      <c r="L268" s="588"/>
      <c r="M268" s="588"/>
      <c r="N268" s="588"/>
      <c r="O268" s="588"/>
      <c r="P268" s="564">
        <v>0</v>
      </c>
      <c r="Q268" s="587">
        <v>0</v>
      </c>
      <c r="R268" s="565">
        <v>0</v>
      </c>
      <c r="S268" s="587">
        <v>0</v>
      </c>
      <c r="T268" s="521"/>
      <c r="U268" s="523"/>
      <c r="V268" s="506"/>
    </row>
    <row r="269" spans="1:23" s="507" customFormat="1" x14ac:dyDescent="0.35">
      <c r="A269" s="520"/>
      <c r="B269" s="564" t="s">
        <v>167</v>
      </c>
      <c r="C269" s="588"/>
      <c r="D269" s="588"/>
      <c r="E269" s="588"/>
      <c r="F269" s="521"/>
      <c r="G269" s="587"/>
      <c r="H269" s="588"/>
      <c r="I269" s="588"/>
      <c r="J269" s="588"/>
      <c r="K269" s="588"/>
      <c r="L269" s="588"/>
      <c r="M269" s="588"/>
      <c r="N269" s="588"/>
      <c r="O269" s="588"/>
      <c r="P269" s="564">
        <v>0</v>
      </c>
      <c r="Q269" s="587">
        <v>0</v>
      </c>
      <c r="R269" s="565">
        <v>0</v>
      </c>
      <c r="S269" s="587">
        <v>0</v>
      </c>
      <c r="T269" s="521"/>
      <c r="U269" s="523"/>
      <c r="V269" s="506"/>
    </row>
    <row r="270" spans="1:23" s="507" customFormat="1" x14ac:dyDescent="0.35">
      <c r="A270" s="520"/>
      <c r="B270" s="564" t="s">
        <v>168</v>
      </c>
      <c r="C270" s="588"/>
      <c r="D270" s="588"/>
      <c r="E270" s="588"/>
      <c r="F270" s="521"/>
      <c r="G270" s="587"/>
      <c r="H270" s="588"/>
      <c r="I270" s="588"/>
      <c r="J270" s="588"/>
      <c r="K270" s="588"/>
      <c r="L270" s="588"/>
      <c r="M270" s="588"/>
      <c r="N270" s="588"/>
      <c r="O270" s="588"/>
      <c r="P270" s="564">
        <v>0</v>
      </c>
      <c r="Q270" s="587">
        <v>0</v>
      </c>
      <c r="R270" s="565">
        <v>0</v>
      </c>
      <c r="S270" s="587">
        <v>0</v>
      </c>
      <c r="T270" s="521"/>
      <c r="U270" s="523"/>
      <c r="V270" s="506"/>
    </row>
    <row r="271" spans="1:23" s="507" customFormat="1" x14ac:dyDescent="0.35">
      <c r="A271" s="520"/>
      <c r="B271" s="564"/>
      <c r="C271" s="588"/>
      <c r="D271" s="588"/>
      <c r="E271" s="588"/>
      <c r="F271" s="521"/>
      <c r="G271" s="587"/>
      <c r="H271" s="588"/>
      <c r="I271" s="588"/>
      <c r="J271" s="588"/>
      <c r="K271" s="588"/>
      <c r="L271" s="588"/>
      <c r="M271" s="588"/>
      <c r="N271" s="588"/>
      <c r="O271" s="588"/>
      <c r="P271" s="564"/>
      <c r="Q271" s="587"/>
      <c r="R271" s="565"/>
      <c r="S271" s="587"/>
      <c r="T271" s="521"/>
      <c r="U271" s="523"/>
      <c r="V271" s="506"/>
    </row>
    <row r="272" spans="1:23" s="507" customFormat="1" x14ac:dyDescent="0.35">
      <c r="A272" s="520"/>
      <c r="B272" s="521" t="s">
        <v>121</v>
      </c>
      <c r="C272" s="521"/>
      <c r="D272" s="521"/>
      <c r="E272" s="521"/>
      <c r="F272" s="521"/>
      <c r="G272" s="521"/>
      <c r="H272" s="590"/>
      <c r="I272" s="590"/>
      <c r="J272" s="590"/>
      <c r="K272" s="590"/>
      <c r="L272" s="590"/>
      <c r="M272" s="590"/>
      <c r="N272" s="590"/>
      <c r="O272" s="590"/>
      <c r="P272" s="564">
        <f>SUM(P263:P271)</f>
        <v>0</v>
      </c>
      <c r="Q272" s="587">
        <f>SUM(Q263:Q271)</f>
        <v>0</v>
      </c>
      <c r="R272" s="565">
        <f>SUM(R263:R271)</f>
        <v>0</v>
      </c>
      <c r="S272" s="587">
        <f>SUM(S263:S271)</f>
        <v>0</v>
      </c>
      <c r="T272" s="521"/>
      <c r="U272" s="523"/>
      <c r="V272" s="506"/>
    </row>
    <row r="273" spans="1:22" s="507" customFormat="1" x14ac:dyDescent="0.35">
      <c r="A273" s="508"/>
      <c r="B273" s="554"/>
      <c r="C273" s="554"/>
      <c r="D273" s="554"/>
      <c r="E273" s="554"/>
      <c r="F273" s="554"/>
      <c r="G273" s="554"/>
      <c r="H273" s="593"/>
      <c r="I273" s="593"/>
      <c r="J273" s="593"/>
      <c r="K273" s="593"/>
      <c r="L273" s="593"/>
      <c r="M273" s="593"/>
      <c r="N273" s="593"/>
      <c r="O273" s="593"/>
      <c r="P273" s="571"/>
      <c r="Q273" s="632"/>
      <c r="R273" s="594"/>
      <c r="S273" s="632"/>
      <c r="T273" s="554"/>
      <c r="U273" s="554"/>
      <c r="V273" s="506"/>
    </row>
    <row r="274" spans="1:22" s="507" customFormat="1" x14ac:dyDescent="0.35">
      <c r="A274" s="637"/>
      <c r="B274" s="635" t="s">
        <v>384</v>
      </c>
      <c r="C274" s="638"/>
      <c r="D274" s="638"/>
      <c r="E274" s="638"/>
      <c r="F274" s="639"/>
      <c r="G274" s="638"/>
      <c r="H274" s="638"/>
      <c r="I274" s="638"/>
      <c r="J274" s="638"/>
      <c r="K274" s="638"/>
      <c r="L274" s="638"/>
      <c r="M274" s="638"/>
      <c r="N274" s="638"/>
      <c r="O274" s="638"/>
      <c r="P274" s="639" t="s">
        <v>106</v>
      </c>
      <c r="Q274" s="638" t="s">
        <v>107</v>
      </c>
      <c r="R274" s="639" t="s">
        <v>115</v>
      </c>
      <c r="S274" s="638" t="s">
        <v>107</v>
      </c>
      <c r="T274" s="638"/>
      <c r="U274" s="638"/>
      <c r="V274" s="506"/>
    </row>
    <row r="275" spans="1:22" s="507" customFormat="1" x14ac:dyDescent="0.35">
      <c r="A275" s="640"/>
      <c r="B275" s="641" t="s">
        <v>385</v>
      </c>
      <c r="C275" s="641"/>
      <c r="D275" s="641"/>
      <c r="E275" s="641"/>
      <c r="F275" s="641"/>
      <c r="G275" s="641"/>
      <c r="H275" s="642"/>
      <c r="I275" s="642"/>
      <c r="J275" s="642"/>
      <c r="K275" s="642"/>
      <c r="L275" s="642"/>
      <c r="M275" s="642"/>
      <c r="N275" s="642"/>
      <c r="O275" s="642"/>
      <c r="P275" s="644">
        <v>0</v>
      </c>
      <c r="Q275" s="645">
        <v>0</v>
      </c>
      <c r="R275" s="646">
        <v>0</v>
      </c>
      <c r="S275" s="645">
        <v>0</v>
      </c>
      <c r="T275" s="642"/>
      <c r="U275" s="642"/>
      <c r="V275" s="506"/>
    </row>
    <row r="276" spans="1:22" s="507" customFormat="1" x14ac:dyDescent="0.35">
      <c r="A276" s="640"/>
      <c r="B276" s="641" t="s">
        <v>386</v>
      </c>
      <c r="C276" s="641"/>
      <c r="D276" s="641"/>
      <c r="E276" s="641"/>
      <c r="F276" s="641"/>
      <c r="G276" s="641"/>
      <c r="H276" s="642"/>
      <c r="I276" s="642"/>
      <c r="J276" s="642"/>
      <c r="K276" s="642"/>
      <c r="L276" s="642"/>
      <c r="M276" s="642"/>
      <c r="N276" s="642"/>
      <c r="O276" s="642"/>
      <c r="P276" s="644">
        <v>0</v>
      </c>
      <c r="Q276" s="645">
        <v>0</v>
      </c>
      <c r="R276" s="646">
        <v>0</v>
      </c>
      <c r="S276" s="645">
        <v>0</v>
      </c>
      <c r="T276" s="642"/>
      <c r="U276" s="642"/>
      <c r="V276" s="506"/>
    </row>
    <row r="277" spans="1:22" s="507" customFormat="1" x14ac:dyDescent="0.35">
      <c r="A277" s="640"/>
      <c r="B277" s="641" t="s">
        <v>387</v>
      </c>
      <c r="C277" s="641"/>
      <c r="D277" s="641"/>
      <c r="E277" s="641"/>
      <c r="F277" s="641"/>
      <c r="G277" s="641"/>
      <c r="H277" s="642"/>
      <c r="I277" s="642"/>
      <c r="J277" s="642"/>
      <c r="K277" s="642"/>
      <c r="L277" s="642"/>
      <c r="M277" s="642"/>
      <c r="N277" s="642"/>
      <c r="O277" s="642"/>
      <c r="P277" s="644">
        <v>0</v>
      </c>
      <c r="Q277" s="645">
        <v>0</v>
      </c>
      <c r="R277" s="646">
        <v>0</v>
      </c>
      <c r="S277" s="645">
        <v>0</v>
      </c>
      <c r="T277" s="642"/>
      <c r="U277" s="642"/>
      <c r="V277" s="506"/>
    </row>
    <row r="278" spans="1:22" s="507" customFormat="1" x14ac:dyDescent="0.35">
      <c r="A278" s="640"/>
      <c r="B278" s="641" t="s">
        <v>388</v>
      </c>
      <c r="C278" s="641"/>
      <c r="D278" s="641"/>
      <c r="E278" s="641"/>
      <c r="F278" s="641"/>
      <c r="G278" s="641"/>
      <c r="H278" s="642"/>
      <c r="I278" s="642"/>
      <c r="J278" s="642"/>
      <c r="K278" s="642"/>
      <c r="L278" s="642"/>
      <c r="M278" s="642"/>
      <c r="N278" s="642"/>
      <c r="O278" s="642"/>
      <c r="P278" s="644">
        <v>0</v>
      </c>
      <c r="Q278" s="645">
        <v>0</v>
      </c>
      <c r="R278" s="646">
        <v>0</v>
      </c>
      <c r="S278" s="645">
        <v>0</v>
      </c>
      <c r="T278" s="642"/>
      <c r="U278" s="642"/>
      <c r="V278" s="506"/>
    </row>
    <row r="279" spans="1:22" s="507" customFormat="1" x14ac:dyDescent="0.35">
      <c r="A279" s="640"/>
      <c r="B279" s="641" t="s">
        <v>403</v>
      </c>
      <c r="C279" s="641"/>
      <c r="D279" s="641"/>
      <c r="E279" s="641"/>
      <c r="F279" s="641"/>
      <c r="G279" s="641"/>
      <c r="H279" s="642"/>
      <c r="I279" s="642"/>
      <c r="J279" s="642"/>
      <c r="K279" s="642"/>
      <c r="L279" s="642"/>
      <c r="M279" s="642"/>
      <c r="N279" s="642"/>
      <c r="O279" s="642"/>
      <c r="P279" s="644">
        <v>0</v>
      </c>
      <c r="Q279" s="645">
        <v>0</v>
      </c>
      <c r="R279" s="646">
        <v>0</v>
      </c>
      <c r="S279" s="645">
        <v>0</v>
      </c>
      <c r="T279" s="642"/>
      <c r="U279" s="642"/>
      <c r="V279" s="506"/>
    </row>
    <row r="280" spans="1:22" s="507" customFormat="1" x14ac:dyDescent="0.35">
      <c r="A280" s="640"/>
      <c r="B280" s="643" t="s">
        <v>389</v>
      </c>
      <c r="C280" s="641"/>
      <c r="D280" s="641"/>
      <c r="E280" s="641"/>
      <c r="F280" s="641"/>
      <c r="G280" s="641"/>
      <c r="H280" s="642"/>
      <c r="I280" s="642"/>
      <c r="J280" s="642"/>
      <c r="K280" s="642"/>
      <c r="L280" s="642"/>
      <c r="M280" s="642"/>
      <c r="N280" s="642"/>
      <c r="O280" s="642"/>
      <c r="P280" s="644">
        <v>0</v>
      </c>
      <c r="Q280" s="645">
        <v>0</v>
      </c>
      <c r="R280" s="646">
        <v>0</v>
      </c>
      <c r="S280" s="645">
        <v>0</v>
      </c>
      <c r="T280" s="642"/>
      <c r="U280" s="642"/>
      <c r="V280" s="506"/>
    </row>
    <row r="281" spans="1:22" s="507" customFormat="1" x14ac:dyDescent="0.35">
      <c r="A281" s="640"/>
      <c r="B281" s="641"/>
      <c r="C281" s="641"/>
      <c r="D281" s="641"/>
      <c r="E281" s="641"/>
      <c r="F281" s="641"/>
      <c r="G281" s="641"/>
      <c r="H281" s="642"/>
      <c r="I281" s="642"/>
      <c r="J281" s="642"/>
      <c r="K281" s="642"/>
      <c r="L281" s="642"/>
      <c r="M281" s="642"/>
      <c r="N281" s="642"/>
      <c r="O281" s="642"/>
      <c r="P281" s="644"/>
      <c r="Q281" s="645"/>
      <c r="R281" s="646"/>
      <c r="S281" s="645"/>
      <c r="T281" s="642"/>
      <c r="U281" s="642"/>
      <c r="V281" s="506"/>
    </row>
    <row r="282" spans="1:22" s="507" customFormat="1" x14ac:dyDescent="0.35">
      <c r="A282" s="640"/>
      <c r="B282" s="641" t="s">
        <v>121</v>
      </c>
      <c r="C282" s="641"/>
      <c r="D282" s="641"/>
      <c r="E282" s="641"/>
      <c r="F282" s="641"/>
      <c r="G282" s="641"/>
      <c r="H282" s="642"/>
      <c r="I282" s="642"/>
      <c r="J282" s="642"/>
      <c r="K282" s="642"/>
      <c r="L282" s="642"/>
      <c r="M282" s="642"/>
      <c r="N282" s="642"/>
      <c r="O282" s="642"/>
      <c r="P282" s="644">
        <f>SUM(P275:P281)</f>
        <v>0</v>
      </c>
      <c r="Q282" s="645">
        <f>SUM(Q275:Q280)</f>
        <v>0</v>
      </c>
      <c r="R282" s="646">
        <f>SUM(R275:R280)</f>
        <v>0</v>
      </c>
      <c r="S282" s="645">
        <f>SUM(S275:S281)</f>
        <v>0</v>
      </c>
      <c r="T282" s="642"/>
      <c r="U282" s="642"/>
      <c r="V282" s="506"/>
    </row>
    <row r="283" spans="1:22" x14ac:dyDescent="0.35">
      <c r="A283" s="407"/>
      <c r="B283" s="423"/>
      <c r="C283" s="423"/>
      <c r="D283" s="423"/>
      <c r="E283" s="423"/>
      <c r="F283" s="423"/>
      <c r="G283" s="423"/>
      <c r="H283" s="468"/>
      <c r="I283" s="468"/>
      <c r="J283" s="468"/>
      <c r="K283" s="468"/>
      <c r="L283" s="468"/>
      <c r="M283" s="468"/>
      <c r="N283" s="468"/>
      <c r="O283" s="468"/>
      <c r="P283" s="435"/>
      <c r="Q283" s="469"/>
      <c r="R283" s="470"/>
      <c r="S283" s="469"/>
      <c r="T283" s="423"/>
      <c r="U283" s="423"/>
      <c r="V283" s="405"/>
    </row>
    <row r="284" spans="1:22" x14ac:dyDescent="0.35">
      <c r="A284" s="599"/>
      <c r="B284" s="610" t="s">
        <v>173</v>
      </c>
      <c r="C284" s="628"/>
      <c r="D284" s="628"/>
      <c r="E284" s="628"/>
      <c r="F284" s="628"/>
      <c r="G284" s="628"/>
      <c r="H284" s="633"/>
      <c r="I284" s="633"/>
      <c r="J284" s="633"/>
      <c r="K284" s="633"/>
      <c r="L284" s="633"/>
      <c r="M284" s="633"/>
      <c r="N284" s="633"/>
      <c r="O284" s="633"/>
      <c r="P284" s="627" t="s">
        <v>106</v>
      </c>
      <c r="Q284" s="611" t="s">
        <v>107</v>
      </c>
      <c r="R284" s="627" t="s">
        <v>115</v>
      </c>
      <c r="S284" s="611" t="s">
        <v>107</v>
      </c>
      <c r="T284" s="628"/>
      <c r="U284" s="614"/>
      <c r="V284" s="405"/>
    </row>
    <row r="285" spans="1:22" s="507" customFormat="1" x14ac:dyDescent="0.35">
      <c r="A285" s="508"/>
      <c r="B285" s="571" t="s">
        <v>92</v>
      </c>
      <c r="C285" s="554"/>
      <c r="D285" s="554"/>
      <c r="E285" s="554"/>
      <c r="F285" s="554"/>
      <c r="G285" s="554"/>
      <c r="H285" s="593"/>
      <c r="I285" s="593"/>
      <c r="J285" s="593"/>
      <c r="K285" s="593"/>
      <c r="L285" s="593"/>
      <c r="M285" s="593"/>
      <c r="N285" s="593"/>
      <c r="O285" s="593"/>
      <c r="P285" s="571">
        <v>0</v>
      </c>
      <c r="Q285" s="632">
        <v>0</v>
      </c>
      <c r="R285" s="594">
        <v>0</v>
      </c>
      <c r="S285" s="632">
        <v>0</v>
      </c>
      <c r="T285" s="554"/>
      <c r="U285" s="554"/>
      <c r="V285" s="506"/>
    </row>
    <row r="286" spans="1:22" s="507" customFormat="1" x14ac:dyDescent="0.35">
      <c r="A286" s="520"/>
      <c r="B286" s="564" t="s">
        <v>93</v>
      </c>
      <c r="C286" s="521"/>
      <c r="D286" s="521"/>
      <c r="E286" s="521"/>
      <c r="F286" s="521"/>
      <c r="G286" s="521"/>
      <c r="H286" s="590"/>
      <c r="I286" s="590"/>
      <c r="J286" s="590"/>
      <c r="K286" s="590"/>
      <c r="L286" s="590"/>
      <c r="M286" s="590"/>
      <c r="N286" s="590"/>
      <c r="O286" s="590"/>
      <c r="P286" s="564">
        <v>0</v>
      </c>
      <c r="Q286" s="587">
        <v>0</v>
      </c>
      <c r="R286" s="565">
        <v>0</v>
      </c>
      <c r="S286" s="587">
        <v>0</v>
      </c>
      <c r="T286" s="521"/>
      <c r="U286" s="523"/>
      <c r="V286" s="506"/>
    </row>
    <row r="287" spans="1:22" s="507" customFormat="1" x14ac:dyDescent="0.35">
      <c r="A287" s="520"/>
      <c r="B287" s="564" t="s">
        <v>94</v>
      </c>
      <c r="C287" s="521"/>
      <c r="D287" s="521"/>
      <c r="E287" s="521"/>
      <c r="F287" s="521"/>
      <c r="G287" s="521"/>
      <c r="H287" s="590"/>
      <c r="I287" s="590"/>
      <c r="J287" s="590"/>
      <c r="K287" s="590"/>
      <c r="L287" s="590"/>
      <c r="M287" s="590"/>
      <c r="N287" s="590"/>
      <c r="O287" s="590"/>
      <c r="P287" s="564">
        <v>0</v>
      </c>
      <c r="Q287" s="587">
        <v>0</v>
      </c>
      <c r="R287" s="565">
        <v>0</v>
      </c>
      <c r="S287" s="587">
        <v>0</v>
      </c>
      <c r="T287" s="521"/>
      <c r="U287" s="523"/>
      <c r="V287" s="506"/>
    </row>
    <row r="288" spans="1:22" s="507" customFormat="1" x14ac:dyDescent="0.35">
      <c r="A288" s="520"/>
      <c r="B288" s="564" t="s">
        <v>164</v>
      </c>
      <c r="C288" s="521"/>
      <c r="D288" s="521"/>
      <c r="E288" s="521"/>
      <c r="F288" s="521"/>
      <c r="G288" s="521"/>
      <c r="H288" s="590"/>
      <c r="I288" s="590"/>
      <c r="J288" s="590"/>
      <c r="K288" s="590"/>
      <c r="L288" s="590"/>
      <c r="M288" s="590"/>
      <c r="N288" s="590"/>
      <c r="O288" s="590"/>
      <c r="P288" s="564">
        <v>0</v>
      </c>
      <c r="Q288" s="587">
        <v>0</v>
      </c>
      <c r="R288" s="565">
        <v>0</v>
      </c>
      <c r="S288" s="587">
        <v>0</v>
      </c>
      <c r="T288" s="521"/>
      <c r="U288" s="523"/>
      <c r="V288" s="506"/>
    </row>
    <row r="289" spans="1:22" s="507" customFormat="1" x14ac:dyDescent="0.35">
      <c r="A289" s="520"/>
      <c r="B289" s="564" t="s">
        <v>165</v>
      </c>
      <c r="C289" s="521"/>
      <c r="D289" s="521"/>
      <c r="E289" s="521"/>
      <c r="F289" s="521"/>
      <c r="G289" s="521"/>
      <c r="H289" s="590"/>
      <c r="I289" s="590"/>
      <c r="J289" s="590"/>
      <c r="K289" s="590"/>
      <c r="L289" s="590"/>
      <c r="M289" s="590"/>
      <c r="N289" s="590"/>
      <c r="O289" s="590"/>
      <c r="P289" s="564">
        <v>0</v>
      </c>
      <c r="Q289" s="587">
        <v>0</v>
      </c>
      <c r="R289" s="565">
        <v>0</v>
      </c>
      <c r="S289" s="587">
        <v>0</v>
      </c>
      <c r="T289" s="521"/>
      <c r="U289" s="523"/>
      <c r="V289" s="506"/>
    </row>
    <row r="290" spans="1:22" s="507" customFormat="1" x14ac:dyDescent="0.35">
      <c r="A290" s="520"/>
      <c r="B290" s="564" t="s">
        <v>166</v>
      </c>
      <c r="C290" s="521"/>
      <c r="D290" s="521"/>
      <c r="E290" s="521"/>
      <c r="F290" s="521"/>
      <c r="G290" s="521"/>
      <c r="H290" s="590"/>
      <c r="I290" s="590"/>
      <c r="J290" s="590"/>
      <c r="K290" s="590"/>
      <c r="L290" s="590"/>
      <c r="M290" s="590"/>
      <c r="N290" s="590"/>
      <c r="O290" s="590"/>
      <c r="P290" s="564">
        <v>0</v>
      </c>
      <c r="Q290" s="587">
        <v>0</v>
      </c>
      <c r="R290" s="565">
        <v>0</v>
      </c>
      <c r="S290" s="587">
        <v>0</v>
      </c>
      <c r="T290" s="521"/>
      <c r="U290" s="523"/>
      <c r="V290" s="506"/>
    </row>
    <row r="291" spans="1:22" s="507" customFormat="1" x14ac:dyDescent="0.35">
      <c r="A291" s="520"/>
      <c r="B291" s="564" t="s">
        <v>167</v>
      </c>
      <c r="C291" s="521"/>
      <c r="D291" s="521"/>
      <c r="E291" s="521"/>
      <c r="F291" s="521"/>
      <c r="G291" s="521"/>
      <c r="H291" s="590"/>
      <c r="I291" s="590"/>
      <c r="J291" s="590"/>
      <c r="K291" s="590"/>
      <c r="L291" s="590"/>
      <c r="M291" s="590"/>
      <c r="N291" s="590"/>
      <c r="O291" s="590"/>
      <c r="P291" s="564">
        <v>0</v>
      </c>
      <c r="Q291" s="587">
        <v>0</v>
      </c>
      <c r="R291" s="565">
        <v>0</v>
      </c>
      <c r="S291" s="587">
        <v>0</v>
      </c>
      <c r="T291" s="521"/>
      <c r="U291" s="523"/>
      <c r="V291" s="506"/>
    </row>
    <row r="292" spans="1:22" s="507" customFormat="1" x14ac:dyDescent="0.35">
      <c r="A292" s="520"/>
      <c r="B292" s="564" t="s">
        <v>168</v>
      </c>
      <c r="C292" s="521"/>
      <c r="D292" s="521"/>
      <c r="E292" s="521"/>
      <c r="F292" s="521"/>
      <c r="G292" s="521"/>
      <c r="H292" s="590"/>
      <c r="I292" s="590"/>
      <c r="J292" s="590"/>
      <c r="K292" s="590"/>
      <c r="L292" s="590"/>
      <c r="M292" s="590"/>
      <c r="N292" s="590"/>
      <c r="O292" s="590"/>
      <c r="P292" s="564">
        <v>0</v>
      </c>
      <c r="Q292" s="587">
        <v>0</v>
      </c>
      <c r="R292" s="565">
        <v>0</v>
      </c>
      <c r="S292" s="587">
        <v>0</v>
      </c>
      <c r="T292" s="521"/>
      <c r="U292" s="523"/>
      <c r="V292" s="506"/>
    </row>
    <row r="293" spans="1:22" s="507" customFormat="1" x14ac:dyDescent="0.35">
      <c r="A293" s="520"/>
      <c r="B293" s="564"/>
      <c r="C293" s="521"/>
      <c r="D293" s="521"/>
      <c r="E293" s="521"/>
      <c r="F293" s="521"/>
      <c r="G293" s="521"/>
      <c r="H293" s="590"/>
      <c r="I293" s="590"/>
      <c r="J293" s="590"/>
      <c r="K293" s="590"/>
      <c r="L293" s="590"/>
      <c r="M293" s="590"/>
      <c r="N293" s="590"/>
      <c r="O293" s="590"/>
      <c r="P293" s="564"/>
      <c r="Q293" s="587"/>
      <c r="R293" s="565"/>
      <c r="S293" s="587"/>
      <c r="T293" s="521"/>
      <c r="U293" s="523"/>
      <c r="V293" s="506"/>
    </row>
    <row r="294" spans="1:22" s="507" customFormat="1" x14ac:dyDescent="0.35">
      <c r="A294" s="520"/>
      <c r="B294" s="521" t="s">
        <v>121</v>
      </c>
      <c r="C294" s="521"/>
      <c r="D294" s="521"/>
      <c r="E294" s="521"/>
      <c r="F294" s="521"/>
      <c r="G294" s="521"/>
      <c r="H294" s="590"/>
      <c r="I294" s="590"/>
      <c r="J294" s="590"/>
      <c r="K294" s="590"/>
      <c r="L294" s="590"/>
      <c r="M294" s="590"/>
      <c r="N294" s="590"/>
      <c r="O294" s="590"/>
      <c r="P294" s="564">
        <f>SUM(P285:P292)</f>
        <v>0</v>
      </c>
      <c r="Q294" s="587">
        <f>SUM(Q285:Q292)</f>
        <v>0</v>
      </c>
      <c r="R294" s="565">
        <f>SUM(R285:R292)</f>
        <v>0</v>
      </c>
      <c r="S294" s="587">
        <f>SUM(S285:S292)</f>
        <v>0</v>
      </c>
      <c r="T294" s="521"/>
      <c r="U294" s="523"/>
      <c r="V294" s="506"/>
    </row>
    <row r="295" spans="1:22" s="507" customFormat="1" x14ac:dyDescent="0.35">
      <c r="A295" s="520"/>
      <c r="B295" s="521"/>
      <c r="C295" s="521"/>
      <c r="D295" s="521"/>
      <c r="E295" s="521"/>
      <c r="F295" s="521"/>
      <c r="G295" s="521"/>
      <c r="H295" s="590"/>
      <c r="I295" s="590"/>
      <c r="J295" s="590"/>
      <c r="K295" s="590"/>
      <c r="L295" s="590"/>
      <c r="M295" s="590"/>
      <c r="N295" s="590"/>
      <c r="O295" s="590"/>
      <c r="P295" s="564"/>
      <c r="Q295" s="587"/>
      <c r="R295" s="565"/>
      <c r="S295" s="587"/>
      <c r="T295" s="521"/>
      <c r="U295" s="523"/>
      <c r="V295" s="506"/>
    </row>
    <row r="296" spans="1:22" s="507" customFormat="1" x14ac:dyDescent="0.35">
      <c r="A296" s="520"/>
      <c r="B296" s="526" t="s">
        <v>174</v>
      </c>
      <c r="C296" s="521"/>
      <c r="D296" s="521"/>
      <c r="E296" s="521"/>
      <c r="F296" s="521"/>
      <c r="G296" s="521"/>
      <c r="H296" s="590"/>
      <c r="I296" s="590"/>
      <c r="J296" s="590"/>
      <c r="K296" s="590"/>
      <c r="L296" s="590"/>
      <c r="M296" s="590"/>
      <c r="N296" s="590"/>
      <c r="O296" s="590"/>
      <c r="P296" s="591">
        <f>P294+P272+P260</f>
        <v>0</v>
      </c>
      <c r="Q296" s="587"/>
      <c r="R296" s="592">
        <f>+R294+R272+R260</f>
        <v>0</v>
      </c>
      <c r="S296" s="587"/>
      <c r="T296" s="521"/>
      <c r="U296" s="523"/>
      <c r="V296" s="506"/>
    </row>
    <row r="297" spans="1:22" s="507" customFormat="1" x14ac:dyDescent="0.35">
      <c r="A297" s="508"/>
      <c r="B297" s="630"/>
      <c r="C297" s="554"/>
      <c r="D297" s="554"/>
      <c r="E297" s="554"/>
      <c r="F297" s="554"/>
      <c r="G297" s="554"/>
      <c r="H297" s="593"/>
      <c r="I297" s="593"/>
      <c r="J297" s="593"/>
      <c r="K297" s="593"/>
      <c r="L297" s="593"/>
      <c r="M297" s="593"/>
      <c r="N297" s="593"/>
      <c r="O297" s="593"/>
      <c r="P297" s="626"/>
      <c r="Q297" s="632"/>
      <c r="R297" s="634"/>
      <c r="S297" s="632"/>
      <c r="T297" s="554"/>
      <c r="U297" s="554"/>
      <c r="V297" s="506"/>
    </row>
    <row r="298" spans="1:22" s="507" customFormat="1" x14ac:dyDescent="0.35">
      <c r="A298" s="599" t="s">
        <v>383</v>
      </c>
      <c r="B298" s="635" t="s">
        <v>382</v>
      </c>
      <c r="C298" s="628"/>
      <c r="D298" s="628"/>
      <c r="E298" s="628"/>
      <c r="F298" s="628"/>
      <c r="G298" s="628"/>
      <c r="H298" s="633"/>
      <c r="I298" s="633"/>
      <c r="J298" s="633"/>
      <c r="K298" s="633"/>
      <c r="L298" s="633"/>
      <c r="M298" s="633"/>
      <c r="N298" s="633"/>
      <c r="O298" s="633"/>
      <c r="P298" s="627" t="s">
        <v>106</v>
      </c>
      <c r="Q298" s="611" t="s">
        <v>107</v>
      </c>
      <c r="R298" s="627" t="s">
        <v>115</v>
      </c>
      <c r="S298" s="611" t="s">
        <v>107</v>
      </c>
      <c r="T298" s="628"/>
      <c r="U298" s="614"/>
      <c r="V298" s="506"/>
    </row>
    <row r="299" spans="1:22" s="507" customFormat="1" x14ac:dyDescent="0.35">
      <c r="A299" s="508"/>
      <c r="B299" s="571" t="s">
        <v>92</v>
      </c>
      <c r="C299" s="554"/>
      <c r="D299" s="554"/>
      <c r="E299" s="554"/>
      <c r="F299" s="554"/>
      <c r="G299" s="554"/>
      <c r="H299" s="593"/>
      <c r="I299" s="593"/>
      <c r="J299" s="593"/>
      <c r="K299" s="593"/>
      <c r="L299" s="593"/>
      <c r="M299" s="593"/>
      <c r="N299" s="593"/>
      <c r="O299" s="593"/>
      <c r="P299" s="571">
        <v>0</v>
      </c>
      <c r="Q299" s="649">
        <v>0</v>
      </c>
      <c r="R299" s="594">
        <v>0</v>
      </c>
      <c r="S299" s="632">
        <v>0</v>
      </c>
      <c r="T299" s="554"/>
      <c r="U299" s="554"/>
      <c r="V299" s="506"/>
    </row>
    <row r="300" spans="1:22" s="507" customFormat="1" x14ac:dyDescent="0.35">
      <c r="A300" s="520"/>
      <c r="B300" s="564" t="s">
        <v>93</v>
      </c>
      <c r="C300" s="521"/>
      <c r="D300" s="521"/>
      <c r="E300" s="521"/>
      <c r="F300" s="521"/>
      <c r="G300" s="521"/>
      <c r="H300" s="590"/>
      <c r="I300" s="590"/>
      <c r="J300" s="590"/>
      <c r="K300" s="590"/>
      <c r="L300" s="590"/>
      <c r="M300" s="590"/>
      <c r="N300" s="590"/>
      <c r="O300" s="590"/>
      <c r="P300" s="564">
        <v>0</v>
      </c>
      <c r="Q300" s="587">
        <v>0</v>
      </c>
      <c r="R300" s="565">
        <v>0</v>
      </c>
      <c r="S300" s="587">
        <v>0</v>
      </c>
      <c r="T300" s="521"/>
      <c r="U300" s="523"/>
      <c r="V300" s="506"/>
    </row>
    <row r="301" spans="1:22" s="507" customFormat="1" x14ac:dyDescent="0.35">
      <c r="A301" s="520"/>
      <c r="B301" s="564" t="s">
        <v>94</v>
      </c>
      <c r="C301" s="521"/>
      <c r="D301" s="521"/>
      <c r="E301" s="521"/>
      <c r="F301" s="521"/>
      <c r="G301" s="521"/>
      <c r="H301" s="590"/>
      <c r="I301" s="590"/>
      <c r="J301" s="590"/>
      <c r="K301" s="590"/>
      <c r="L301" s="590"/>
      <c r="M301" s="590"/>
      <c r="N301" s="590"/>
      <c r="O301" s="590"/>
      <c r="P301" s="564">
        <v>0</v>
      </c>
      <c r="Q301" s="587">
        <v>0</v>
      </c>
      <c r="R301" s="565">
        <v>0</v>
      </c>
      <c r="S301" s="587">
        <v>0</v>
      </c>
      <c r="T301" s="521"/>
      <c r="U301" s="523"/>
      <c r="V301" s="506"/>
    </row>
    <row r="302" spans="1:22" s="507" customFormat="1" x14ac:dyDescent="0.35">
      <c r="A302" s="520"/>
      <c r="B302" s="564" t="s">
        <v>164</v>
      </c>
      <c r="C302" s="521"/>
      <c r="D302" s="521"/>
      <c r="E302" s="521"/>
      <c r="F302" s="521"/>
      <c r="G302" s="521"/>
      <c r="H302" s="590"/>
      <c r="I302" s="590"/>
      <c r="J302" s="590"/>
      <c r="K302" s="590"/>
      <c r="L302" s="590"/>
      <c r="M302" s="590"/>
      <c r="N302" s="590"/>
      <c r="O302" s="590"/>
      <c r="P302" s="564">
        <v>0</v>
      </c>
      <c r="Q302" s="587">
        <v>0</v>
      </c>
      <c r="R302" s="565">
        <v>0</v>
      </c>
      <c r="S302" s="587">
        <v>0</v>
      </c>
      <c r="T302" s="521"/>
      <c r="U302" s="523"/>
      <c r="V302" s="506"/>
    </row>
    <row r="303" spans="1:22" s="507" customFormat="1" x14ac:dyDescent="0.35">
      <c r="A303" s="520"/>
      <c r="B303" s="564" t="s">
        <v>165</v>
      </c>
      <c r="C303" s="521"/>
      <c r="D303" s="521"/>
      <c r="E303" s="521"/>
      <c r="F303" s="521"/>
      <c r="G303" s="521"/>
      <c r="H303" s="590"/>
      <c r="I303" s="590"/>
      <c r="J303" s="590"/>
      <c r="K303" s="590"/>
      <c r="L303" s="590"/>
      <c r="M303" s="590"/>
      <c r="N303" s="590"/>
      <c r="O303" s="590"/>
      <c r="P303" s="564">
        <v>0</v>
      </c>
      <c r="Q303" s="587">
        <v>0</v>
      </c>
      <c r="R303" s="565">
        <v>0</v>
      </c>
      <c r="S303" s="587">
        <v>0</v>
      </c>
      <c r="T303" s="521"/>
      <c r="U303" s="523"/>
      <c r="V303" s="506"/>
    </row>
    <row r="304" spans="1:22" s="507" customFormat="1" x14ac:dyDescent="0.35">
      <c r="A304" s="520"/>
      <c r="B304" s="564" t="s">
        <v>166</v>
      </c>
      <c r="C304" s="521"/>
      <c r="D304" s="521"/>
      <c r="E304" s="521"/>
      <c r="F304" s="521"/>
      <c r="G304" s="521"/>
      <c r="H304" s="590"/>
      <c r="I304" s="590"/>
      <c r="J304" s="590"/>
      <c r="K304" s="590"/>
      <c r="L304" s="590"/>
      <c r="M304" s="590"/>
      <c r="N304" s="590"/>
      <c r="O304" s="590"/>
      <c r="P304" s="564">
        <v>0</v>
      </c>
      <c r="Q304" s="587">
        <v>0</v>
      </c>
      <c r="R304" s="565">
        <v>0</v>
      </c>
      <c r="S304" s="587">
        <v>0</v>
      </c>
      <c r="T304" s="521"/>
      <c r="U304" s="523"/>
      <c r="V304" s="506"/>
    </row>
    <row r="305" spans="1:22" s="507" customFormat="1" x14ac:dyDescent="0.35">
      <c r="A305" s="520"/>
      <c r="B305" s="564" t="s">
        <v>167</v>
      </c>
      <c r="C305" s="521"/>
      <c r="D305" s="521"/>
      <c r="E305" s="521"/>
      <c r="F305" s="521"/>
      <c r="G305" s="521"/>
      <c r="H305" s="590"/>
      <c r="I305" s="590"/>
      <c r="J305" s="590"/>
      <c r="K305" s="590"/>
      <c r="L305" s="590"/>
      <c r="M305" s="590"/>
      <c r="N305" s="590"/>
      <c r="O305" s="590"/>
      <c r="P305" s="564">
        <v>0</v>
      </c>
      <c r="Q305" s="587">
        <v>0</v>
      </c>
      <c r="R305" s="565">
        <v>0</v>
      </c>
      <c r="S305" s="587">
        <v>0</v>
      </c>
      <c r="T305" s="521"/>
      <c r="U305" s="523"/>
      <c r="V305" s="506"/>
    </row>
    <row r="306" spans="1:22" s="507" customFormat="1" x14ac:dyDescent="0.35">
      <c r="A306" s="520"/>
      <c r="B306" s="564" t="s">
        <v>168</v>
      </c>
      <c r="C306" s="521"/>
      <c r="D306" s="521"/>
      <c r="E306" s="521"/>
      <c r="F306" s="521"/>
      <c r="G306" s="521"/>
      <c r="H306" s="590"/>
      <c r="I306" s="590"/>
      <c r="J306" s="590"/>
      <c r="K306" s="590"/>
      <c r="L306" s="590"/>
      <c r="M306" s="590"/>
      <c r="N306" s="590"/>
      <c r="O306" s="590"/>
      <c r="P306" s="564">
        <v>0</v>
      </c>
      <c r="Q306" s="587">
        <v>0</v>
      </c>
      <c r="R306" s="565">
        <v>0</v>
      </c>
      <c r="S306" s="587">
        <v>0</v>
      </c>
      <c r="T306" s="521"/>
      <c r="U306" s="523"/>
      <c r="V306" s="506"/>
    </row>
    <row r="307" spans="1:22" s="507" customFormat="1" x14ac:dyDescent="0.35">
      <c r="A307" s="520"/>
      <c r="B307" s="564"/>
      <c r="C307" s="521"/>
      <c r="D307" s="521"/>
      <c r="E307" s="521"/>
      <c r="F307" s="521"/>
      <c r="G307" s="521"/>
      <c r="H307" s="590"/>
      <c r="I307" s="590"/>
      <c r="J307" s="590"/>
      <c r="K307" s="590"/>
      <c r="L307" s="590"/>
      <c r="M307" s="590"/>
      <c r="N307" s="590"/>
      <c r="O307" s="590"/>
      <c r="P307" s="564"/>
      <c r="Q307" s="587"/>
      <c r="R307" s="565"/>
      <c r="S307" s="587"/>
      <c r="T307" s="521"/>
      <c r="U307" s="523"/>
      <c r="V307" s="506"/>
    </row>
    <row r="308" spans="1:22" s="507" customFormat="1" x14ac:dyDescent="0.35">
      <c r="A308" s="520"/>
      <c r="B308" s="521" t="s">
        <v>121</v>
      </c>
      <c r="C308" s="521"/>
      <c r="D308" s="521"/>
      <c r="E308" s="521"/>
      <c r="F308" s="521"/>
      <c r="G308" s="521"/>
      <c r="H308" s="590"/>
      <c r="I308" s="590"/>
      <c r="J308" s="590"/>
      <c r="K308" s="590"/>
      <c r="L308" s="590"/>
      <c r="M308" s="590"/>
      <c r="N308" s="590"/>
      <c r="O308" s="590"/>
      <c r="P308" s="564">
        <f>SUM(P299:P306)</f>
        <v>0</v>
      </c>
      <c r="Q308" s="587">
        <f>SUM(Q299:Q306)</f>
        <v>0</v>
      </c>
      <c r="R308" s="565">
        <f>SUM(R299:R306)</f>
        <v>0</v>
      </c>
      <c r="S308" s="587">
        <f>SUM(S299:S306)</f>
        <v>0</v>
      </c>
      <c r="T308" s="521"/>
      <c r="U308" s="523"/>
      <c r="V308" s="506"/>
    </row>
    <row r="309" spans="1:22" s="507" customFormat="1" x14ac:dyDescent="0.35">
      <c r="A309" s="520"/>
      <c r="B309" s="650" t="s">
        <v>402</v>
      </c>
      <c r="C309" s="521"/>
      <c r="D309" s="521"/>
      <c r="E309" s="521"/>
      <c r="F309" s="521"/>
      <c r="G309" s="521"/>
      <c r="H309" s="590"/>
      <c r="I309" s="590"/>
      <c r="J309" s="590"/>
      <c r="K309" s="590"/>
      <c r="L309" s="590"/>
      <c r="M309" s="590"/>
      <c r="N309" s="590"/>
      <c r="O309" s="590"/>
      <c r="P309" s="654"/>
      <c r="Q309" s="655">
        <v>0</v>
      </c>
      <c r="R309" s="656"/>
      <c r="S309" s="655">
        <v>0</v>
      </c>
      <c r="T309" s="657"/>
      <c r="U309" s="523"/>
      <c r="V309" s="506"/>
    </row>
    <row r="310" spans="1:22" s="507" customFormat="1" x14ac:dyDescent="0.35">
      <c r="A310" s="520"/>
      <c r="B310" s="650" t="s">
        <v>411</v>
      </c>
      <c r="C310" s="521"/>
      <c r="D310" s="521"/>
      <c r="E310" s="521"/>
      <c r="F310" s="521"/>
      <c r="G310" s="521"/>
      <c r="H310" s="590"/>
      <c r="I310" s="590"/>
      <c r="J310" s="590"/>
      <c r="K310" s="590"/>
      <c r="L310" s="590"/>
      <c r="M310" s="590"/>
      <c r="N310" s="590"/>
      <c r="O310" s="590"/>
      <c r="P310" s="658">
        <v>0</v>
      </c>
      <c r="Q310" s="590">
        <v>0</v>
      </c>
      <c r="R310" s="658">
        <v>0</v>
      </c>
      <c r="S310" s="590">
        <v>0</v>
      </c>
      <c r="T310" s="590"/>
      <c r="U310" s="523"/>
      <c r="V310" s="506"/>
    </row>
    <row r="311" spans="1:22" s="507" customFormat="1" x14ac:dyDescent="0.35">
      <c r="A311" s="520"/>
      <c r="B311" s="650" t="s">
        <v>412</v>
      </c>
      <c r="C311" s="521"/>
      <c r="D311" s="521"/>
      <c r="E311" s="521"/>
      <c r="F311" s="521"/>
      <c r="G311" s="521"/>
      <c r="H311" s="590"/>
      <c r="I311" s="590"/>
      <c r="J311" s="590"/>
      <c r="K311" s="590"/>
      <c r="L311" s="590"/>
      <c r="M311" s="590"/>
      <c r="N311" s="590"/>
      <c r="O311" s="590"/>
      <c r="P311" s="658">
        <v>0</v>
      </c>
      <c r="Q311" s="590">
        <v>0</v>
      </c>
      <c r="R311" s="658">
        <v>0</v>
      </c>
      <c r="S311" s="590">
        <v>0</v>
      </c>
      <c r="T311" s="590"/>
      <c r="U311" s="523"/>
      <c r="V311" s="506"/>
    </row>
    <row r="312" spans="1:22" s="507" customFormat="1" x14ac:dyDescent="0.35">
      <c r="A312" s="508"/>
      <c r="B312" s="509"/>
      <c r="C312" s="509"/>
      <c r="D312" s="509"/>
      <c r="E312" s="509"/>
      <c r="F312" s="509"/>
      <c r="G312" s="509"/>
      <c r="H312" s="595"/>
      <c r="I312" s="595"/>
      <c r="J312" s="595"/>
      <c r="K312" s="595"/>
      <c r="L312" s="595"/>
      <c r="M312" s="595"/>
      <c r="N312" s="595"/>
      <c r="O312" s="595"/>
      <c r="P312" s="595"/>
      <c r="Q312" s="595"/>
      <c r="R312" s="596"/>
      <c r="S312" s="595"/>
      <c r="T312" s="509"/>
      <c r="U312" s="509"/>
      <c r="V312" s="506"/>
    </row>
    <row r="313" spans="1:22" s="507" customFormat="1" x14ac:dyDescent="0.35">
      <c r="A313" s="508"/>
      <c r="B313" s="503" t="s">
        <v>95</v>
      </c>
      <c r="C313" s="509"/>
      <c r="D313" s="509"/>
      <c r="E313" s="509"/>
      <c r="F313" s="514" t="s">
        <v>101</v>
      </c>
      <c r="G313" s="509"/>
      <c r="H313" s="503" t="s">
        <v>103</v>
      </c>
      <c r="I313" s="509"/>
      <c r="J313" s="509"/>
      <c r="K313" s="509"/>
      <c r="L313" s="509"/>
      <c r="M313" s="509"/>
      <c r="N313" s="509"/>
      <c r="O313" s="509"/>
      <c r="P313" s="509"/>
      <c r="Q313" s="509"/>
      <c r="R313" s="509"/>
      <c r="S313" s="509"/>
      <c r="T313" s="509"/>
      <c r="U313" s="509"/>
      <c r="V313" s="506"/>
    </row>
    <row r="314" spans="1:22" s="507" customFormat="1" x14ac:dyDescent="0.35">
      <c r="A314" s="508"/>
      <c r="B314" s="503" t="s">
        <v>330</v>
      </c>
      <c r="C314" s="503"/>
      <c r="D314" s="503"/>
      <c r="E314" s="503"/>
      <c r="F314" s="597" t="s">
        <v>278</v>
      </c>
      <c r="G314" s="503"/>
      <c r="H314" s="476" t="s">
        <v>362</v>
      </c>
      <c r="I314" s="509"/>
      <c r="J314" s="509"/>
      <c r="K314" s="509"/>
      <c r="L314" s="509"/>
      <c r="M314" s="509"/>
      <c r="N314" s="509"/>
      <c r="O314" s="509"/>
      <c r="P314" s="509"/>
      <c r="Q314" s="509"/>
      <c r="R314" s="509"/>
      <c r="S314" s="509"/>
      <c r="T314" s="509"/>
      <c r="U314" s="509"/>
      <c r="V314" s="506"/>
    </row>
    <row r="315" spans="1:22" s="507" customFormat="1" x14ac:dyDescent="0.35">
      <c r="A315" s="508"/>
      <c r="B315" s="503" t="s">
        <v>331</v>
      </c>
      <c r="C315" s="503"/>
      <c r="D315" s="503"/>
      <c r="E315" s="503"/>
      <c r="F315" s="597" t="s">
        <v>154</v>
      </c>
      <c r="G315" s="503"/>
      <c r="H315" s="476" t="s">
        <v>363</v>
      </c>
      <c r="I315" s="509"/>
      <c r="J315" s="509"/>
      <c r="K315" s="509"/>
      <c r="L315" s="509"/>
      <c r="M315" s="509"/>
      <c r="N315" s="509"/>
      <c r="O315" s="509"/>
      <c r="P315" s="509"/>
      <c r="Q315" s="509"/>
      <c r="R315" s="509"/>
      <c r="S315" s="509"/>
      <c r="T315" s="509"/>
      <c r="U315" s="509"/>
      <c r="V315" s="506"/>
    </row>
    <row r="316" spans="1:22" s="507" customFormat="1" x14ac:dyDescent="0.35">
      <c r="A316" s="508"/>
      <c r="B316" s="503"/>
      <c r="C316" s="503"/>
      <c r="D316" s="503"/>
      <c r="E316" s="503"/>
      <c r="F316" s="597"/>
      <c r="G316" s="503"/>
      <c r="H316" s="503"/>
      <c r="I316" s="509"/>
      <c r="J316" s="509"/>
      <c r="K316" s="509"/>
      <c r="L316" s="509"/>
      <c r="M316" s="509"/>
      <c r="N316" s="509"/>
      <c r="O316" s="509"/>
      <c r="P316" s="509"/>
      <c r="Q316" s="509"/>
      <c r="R316" s="509"/>
      <c r="S316" s="509"/>
      <c r="T316" s="509"/>
      <c r="U316" s="509"/>
      <c r="V316" s="506"/>
    </row>
    <row r="317" spans="1:22" s="507" customFormat="1" x14ac:dyDescent="0.35">
      <c r="A317" s="508"/>
      <c r="B317" s="554" t="s">
        <v>358</v>
      </c>
      <c r="C317" s="503"/>
      <c r="D317" s="503"/>
      <c r="E317" s="503"/>
      <c r="F317" s="597"/>
      <c r="G317" s="503"/>
      <c r="H317" s="503"/>
      <c r="I317" s="509"/>
      <c r="J317" s="509"/>
      <c r="K317" s="509"/>
      <c r="L317" s="509"/>
      <c r="M317" s="509"/>
      <c r="N317" s="509"/>
      <c r="O317" s="509"/>
      <c r="P317" s="509"/>
      <c r="Q317" s="509"/>
      <c r="R317" s="509"/>
      <c r="S317" s="509"/>
      <c r="T317" s="509"/>
      <c r="U317" s="509"/>
      <c r="V317" s="506"/>
    </row>
    <row r="318" spans="1:22" s="507" customFormat="1" x14ac:dyDescent="0.35">
      <c r="A318" s="508"/>
      <c r="B318" s="554" t="s">
        <v>364</v>
      </c>
      <c r="C318" s="503"/>
      <c r="D318" s="503"/>
      <c r="E318" s="503"/>
      <c r="F318" s="597"/>
      <c r="G318" s="503"/>
      <c r="H318" s="503"/>
      <c r="I318" s="509"/>
      <c r="J318" s="509"/>
      <c r="K318" s="509"/>
      <c r="L318" s="509"/>
      <c r="M318" s="509"/>
      <c r="N318" s="509"/>
      <c r="O318" s="509"/>
      <c r="P318" s="509"/>
      <c r="Q318" s="509"/>
      <c r="R318" s="509"/>
      <c r="S318" s="509"/>
      <c r="T318" s="509"/>
      <c r="U318" s="509"/>
      <c r="V318" s="506"/>
    </row>
    <row r="319" spans="1:22" s="507" customFormat="1" x14ac:dyDescent="0.35">
      <c r="A319" s="508"/>
      <c r="B319" s="554" t="s">
        <v>357</v>
      </c>
      <c r="C319" s="503"/>
      <c r="D319" s="503"/>
      <c r="E319" s="503"/>
      <c r="F319" s="597"/>
      <c r="G319" s="503"/>
      <c r="H319" s="503"/>
      <c r="I319" s="509"/>
      <c r="J319" s="509"/>
      <c r="K319" s="509"/>
      <c r="L319" s="509"/>
      <c r="M319" s="509"/>
      <c r="N319" s="509"/>
      <c r="O319" s="509"/>
      <c r="P319" s="509"/>
      <c r="Q319" s="509"/>
      <c r="R319" s="509"/>
      <c r="S319" s="509"/>
      <c r="T319" s="509"/>
      <c r="U319" s="509"/>
      <c r="V319" s="506"/>
    </row>
    <row r="320" spans="1:22" s="507" customFormat="1" x14ac:dyDescent="0.35">
      <c r="A320" s="508"/>
      <c r="B320" s="554" t="s">
        <v>356</v>
      </c>
      <c r="C320" s="503"/>
      <c r="D320" s="503"/>
      <c r="E320" s="503"/>
      <c r="F320" s="597"/>
      <c r="G320" s="503"/>
      <c r="H320" s="503"/>
      <c r="I320" s="509"/>
      <c r="J320" s="509"/>
      <c r="K320" s="509"/>
      <c r="L320" s="509"/>
      <c r="M320" s="509"/>
      <c r="N320" s="509"/>
      <c r="O320" s="509"/>
      <c r="P320" s="509"/>
      <c r="Q320" s="509"/>
      <c r="R320" s="509"/>
      <c r="S320" s="509"/>
      <c r="T320" s="509"/>
      <c r="U320" s="509"/>
      <c r="V320" s="506"/>
    </row>
    <row r="321" spans="1:22" s="507" customFormat="1" x14ac:dyDescent="0.35">
      <c r="A321" s="508"/>
      <c r="B321" s="554"/>
      <c r="C321" s="503"/>
      <c r="D321" s="503"/>
      <c r="E321" s="503"/>
      <c r="F321" s="597"/>
      <c r="G321" s="503"/>
      <c r="H321" s="503"/>
      <c r="I321" s="509"/>
      <c r="J321" s="509"/>
      <c r="K321" s="509"/>
      <c r="L321" s="509"/>
      <c r="M321" s="509"/>
      <c r="N321" s="509"/>
      <c r="O321" s="509"/>
      <c r="P321" s="509"/>
      <c r="Q321" s="509"/>
      <c r="R321" s="509"/>
      <c r="S321" s="509"/>
      <c r="T321" s="509"/>
      <c r="U321" s="509"/>
      <c r="V321" s="506"/>
    </row>
    <row r="322" spans="1:22" s="507" customFormat="1" x14ac:dyDescent="0.35">
      <c r="A322" s="508"/>
      <c r="B322" s="636" t="s">
        <v>401</v>
      </c>
      <c r="C322" s="503"/>
      <c r="D322" s="503"/>
      <c r="E322" s="503"/>
      <c r="F322" s="597"/>
      <c r="G322" s="503"/>
      <c r="H322" s="503"/>
      <c r="I322" s="509"/>
      <c r="J322" s="509"/>
      <c r="K322" s="509"/>
      <c r="L322" s="509"/>
      <c r="M322" s="509"/>
      <c r="N322" s="509"/>
      <c r="O322" s="509"/>
      <c r="P322" s="509"/>
      <c r="Q322" s="509"/>
      <c r="R322" s="509"/>
      <c r="S322" s="509"/>
      <c r="T322" s="509"/>
      <c r="U322" s="509"/>
      <c r="V322" s="506"/>
    </row>
    <row r="323" spans="1:22" s="507" customFormat="1" x14ac:dyDescent="0.35">
      <c r="A323" s="508"/>
      <c r="B323" s="554"/>
      <c r="C323" s="503"/>
      <c r="D323" s="503"/>
      <c r="E323" s="503"/>
      <c r="F323" s="597"/>
      <c r="G323" s="503"/>
      <c r="H323" s="503"/>
      <c r="I323" s="509"/>
      <c r="J323" s="509"/>
      <c r="K323" s="509"/>
      <c r="L323" s="509"/>
      <c r="M323" s="509"/>
      <c r="N323" s="509"/>
      <c r="O323" s="509"/>
      <c r="P323" s="509"/>
      <c r="Q323" s="509"/>
      <c r="R323" s="509"/>
      <c r="S323" s="509"/>
      <c r="T323" s="509"/>
      <c r="U323" s="509"/>
      <c r="V323" s="506"/>
    </row>
    <row r="324" spans="1:22" x14ac:dyDescent="0.35">
      <c r="A324" s="407"/>
      <c r="B324" s="423"/>
      <c r="C324" s="414"/>
      <c r="D324" s="414"/>
      <c r="E324" s="414"/>
      <c r="F324" s="471"/>
      <c r="G324" s="414"/>
      <c r="H324" s="414"/>
      <c r="I324" s="424"/>
      <c r="J324" s="424"/>
      <c r="K324" s="424"/>
      <c r="L324" s="424"/>
      <c r="M324" s="424"/>
      <c r="N324" s="424"/>
      <c r="O324" s="424"/>
      <c r="P324" s="424"/>
      <c r="Q324" s="424"/>
      <c r="R324" s="424"/>
      <c r="S324" s="424"/>
      <c r="T324" s="424"/>
      <c r="U324" s="424"/>
      <c r="V324" s="405"/>
    </row>
    <row r="325" spans="1:22" ht="18.5" x14ac:dyDescent="0.45">
      <c r="A325" s="407"/>
      <c r="B325" s="477" t="s">
        <v>359</v>
      </c>
      <c r="C325" s="414"/>
      <c r="D325" s="414"/>
      <c r="E325" s="414"/>
      <c r="F325" s="414"/>
      <c r="G325" s="414"/>
      <c r="H325" s="424"/>
      <c r="I325" s="424"/>
      <c r="J325" s="424"/>
      <c r="K325" s="424"/>
      <c r="L325" s="409"/>
      <c r="M325" s="409"/>
      <c r="N325" s="472"/>
      <c r="O325" s="409"/>
      <c r="P325" s="474" t="s">
        <v>361</v>
      </c>
      <c r="Q325" s="424"/>
      <c r="R325" s="424"/>
      <c r="S325" s="424"/>
      <c r="T325" s="424"/>
      <c r="U325" s="424"/>
      <c r="V325" s="405"/>
    </row>
    <row r="326" spans="1:22" x14ac:dyDescent="0.35">
      <c r="A326" s="407"/>
      <c r="B326" s="414"/>
      <c r="C326" s="414"/>
      <c r="D326" s="414"/>
      <c r="E326" s="414"/>
      <c r="F326" s="414"/>
      <c r="G326" s="414"/>
      <c r="H326" s="424"/>
      <c r="I326" s="424"/>
      <c r="J326" s="424"/>
      <c r="K326" s="424"/>
      <c r="L326" s="424"/>
      <c r="M326" s="424"/>
      <c r="N326" s="424"/>
      <c r="O326" s="424"/>
      <c r="P326" s="424"/>
      <c r="Q326" s="424"/>
      <c r="R326" s="424"/>
      <c r="S326" s="424"/>
      <c r="T326" s="424"/>
      <c r="U326" s="424"/>
      <c r="V326" s="405"/>
    </row>
    <row r="327" spans="1:22" ht="19" thickBot="1" x14ac:dyDescent="0.5">
      <c r="A327" s="407"/>
      <c r="B327" s="598" t="str">
        <f>B200</f>
        <v>PM10 INVESTOR REPORT QUARTER ENDING AUGUST 2020</v>
      </c>
      <c r="C327" s="414"/>
      <c r="D327" s="414"/>
      <c r="E327" s="414"/>
      <c r="F327" s="414"/>
      <c r="G327" s="414"/>
      <c r="H327" s="424"/>
      <c r="I327" s="424"/>
      <c r="J327" s="424"/>
      <c r="K327" s="424"/>
      <c r="L327" s="424"/>
      <c r="M327" s="424"/>
      <c r="N327" s="424"/>
      <c r="O327" s="424"/>
      <c r="P327" s="424"/>
      <c r="Q327" s="424"/>
      <c r="R327" s="424"/>
      <c r="S327" s="424"/>
      <c r="T327" s="424"/>
      <c r="U327" s="424"/>
      <c r="V327" s="405"/>
    </row>
    <row r="328" spans="1:22" x14ac:dyDescent="0.35">
      <c r="A328" s="473"/>
      <c r="B328" s="473"/>
      <c r="C328" s="473"/>
      <c r="D328" s="473"/>
      <c r="E328" s="473"/>
      <c r="F328" s="473"/>
      <c r="G328" s="473"/>
      <c r="H328" s="473"/>
      <c r="I328" s="473"/>
      <c r="J328" s="473"/>
      <c r="K328" s="473"/>
      <c r="L328" s="473"/>
      <c r="M328" s="473"/>
      <c r="N328" s="473"/>
      <c r="O328" s="473"/>
      <c r="P328" s="473"/>
      <c r="Q328" s="473"/>
      <c r="R328" s="473"/>
      <c r="S328" s="473"/>
      <c r="T328" s="473"/>
      <c r="U328" s="473"/>
    </row>
    <row r="329" spans="1:22" x14ac:dyDescent="0.35">
      <c r="B329" s="647" t="s">
        <v>390</v>
      </c>
    </row>
    <row r="330" spans="1:22" x14ac:dyDescent="0.35">
      <c r="B330" s="648" t="s">
        <v>391</v>
      </c>
    </row>
    <row r="331" spans="1:22" x14ac:dyDescent="0.35">
      <c r="B331" s="648" t="s">
        <v>392</v>
      </c>
    </row>
    <row r="332" spans="1:22" x14ac:dyDescent="0.35">
      <c r="B332" s="648" t="s">
        <v>393</v>
      </c>
    </row>
    <row r="333" spans="1:22" x14ac:dyDescent="0.35">
      <c r="B333" s="648" t="s">
        <v>394</v>
      </c>
    </row>
    <row r="334" spans="1:22" x14ac:dyDescent="0.35">
      <c r="B334" s="648" t="s">
        <v>395</v>
      </c>
    </row>
    <row r="335" spans="1:22" x14ac:dyDescent="0.35">
      <c r="B335" s="648" t="s">
        <v>396</v>
      </c>
    </row>
    <row r="336" spans="1:22" x14ac:dyDescent="0.35">
      <c r="B336" s="648" t="s">
        <v>397</v>
      </c>
    </row>
    <row r="337" spans="2:2" x14ac:dyDescent="0.35">
      <c r="B337" s="648"/>
    </row>
    <row r="338" spans="2:2" x14ac:dyDescent="0.35">
      <c r="B338" s="647" t="s">
        <v>407</v>
      </c>
    </row>
    <row r="339" spans="2:2" x14ac:dyDescent="0.35">
      <c r="B339" s="648" t="s">
        <v>408</v>
      </c>
    </row>
    <row r="340" spans="2:2" x14ac:dyDescent="0.35">
      <c r="B340" s="648" t="s">
        <v>409</v>
      </c>
    </row>
    <row r="341" spans="2:2" x14ac:dyDescent="0.35">
      <c r="B341" s="648" t="s">
        <v>410</v>
      </c>
    </row>
    <row r="342" spans="2:2" x14ac:dyDescent="0.35">
      <c r="B342" s="648"/>
    </row>
    <row r="343" spans="2:2" x14ac:dyDescent="0.35">
      <c r="B343" s="647" t="s">
        <v>398</v>
      </c>
    </row>
    <row r="344" spans="2:2" x14ac:dyDescent="0.35">
      <c r="B344" s="648" t="s">
        <v>399</v>
      </c>
    </row>
    <row r="345" spans="2:2" x14ac:dyDescent="0.35">
      <c r="B345" s="648" t="s">
        <v>400</v>
      </c>
    </row>
  </sheetData>
  <hyperlinks>
    <hyperlink ref="J9" r:id="rId1" xr:uid="{EA5DA28C-8EE2-4B00-BCE3-61D06ADABDFE}"/>
    <hyperlink ref="N236" r:id="rId2" xr:uid="{94615CA1-A924-4E19-86A2-6401825EB25E}"/>
    <hyperlink ref="P325" r:id="rId3" xr:uid="{8A591F2C-7EBB-44D3-BA1C-11F0F9AC44C4}"/>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1" man="1"/>
    <brk id="139" max="14" man="1"/>
    <brk id="200" max="14"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9CB31"/>
  </sheetPr>
  <dimension ref="A1:W279"/>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0.50209999999999999</v>
      </c>
      <c r="R16" s="17" t="s">
        <v>147</v>
      </c>
      <c r="S16" s="138">
        <v>0.49790000000000001</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39258</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v>966337</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901390.16</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554410.26284800004</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923667.26284800004</v>
      </c>
      <c r="U35" s="34"/>
      <c r="V35" s="5"/>
    </row>
    <row r="36" spans="1:22" x14ac:dyDescent="0.35">
      <c r="A36" s="28"/>
      <c r="B36" s="29" t="s">
        <v>298</v>
      </c>
      <c r="C36" s="126"/>
      <c r="D36" s="35">
        <f>D37*D34</f>
        <v>517148.84037759999</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886405.84037759993</v>
      </c>
      <c r="U36" s="34"/>
      <c r="V36" s="5"/>
    </row>
    <row r="37" spans="1:22" x14ac:dyDescent="0.35">
      <c r="A37" s="24"/>
      <c r="B37" s="122" t="s">
        <v>137</v>
      </c>
      <c r="C37" s="25"/>
      <c r="D37" s="170">
        <v>0.8194456</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0.87848800000000005</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270</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5.2999999999999999E-2</v>
      </c>
      <c r="E40" s="25"/>
      <c r="F40" s="38">
        <v>5.6887500000000001E-2</v>
      </c>
      <c r="G40" s="39"/>
      <c r="H40" s="38">
        <v>4.0489999999999998E-2</v>
      </c>
      <c r="I40" s="39"/>
      <c r="J40" s="38">
        <v>5.7987499999999997E-2</v>
      </c>
      <c r="K40" s="39"/>
      <c r="L40" s="38">
        <v>4.1590000000000002E-2</v>
      </c>
      <c r="M40" s="39"/>
      <c r="N40" s="38">
        <v>6.0787500000000001E-2</v>
      </c>
      <c r="O40" s="39"/>
      <c r="P40" s="38">
        <v>4.4389999999999999E-2</v>
      </c>
      <c r="Q40" s="39"/>
      <c r="R40" s="38"/>
      <c r="S40" s="164"/>
      <c r="T40" s="30"/>
      <c r="U40" s="25"/>
      <c r="V40" s="5"/>
    </row>
    <row r="41" spans="1:22" x14ac:dyDescent="0.35">
      <c r="A41" s="24"/>
      <c r="B41" s="25" t="s">
        <v>13</v>
      </c>
      <c r="C41" s="25"/>
      <c r="D41" s="38">
        <v>5.2999999999999999E-2</v>
      </c>
      <c r="E41" s="25"/>
      <c r="F41" s="38">
        <v>5.4556300000000002E-2</v>
      </c>
      <c r="G41" s="39"/>
      <c r="H41" s="38">
        <v>3.8339999999999999E-2</v>
      </c>
      <c r="I41" s="39"/>
      <c r="J41" s="38">
        <v>5.5656299999999999E-2</v>
      </c>
      <c r="K41" s="39"/>
      <c r="L41" s="38">
        <v>3.9440000000000003E-2</v>
      </c>
      <c r="M41" s="39"/>
      <c r="N41" s="38">
        <v>5.8456300000000003E-2</v>
      </c>
      <c r="O41" s="39"/>
      <c r="P41" s="38">
        <v>4.224E-2</v>
      </c>
      <c r="Q41" s="39"/>
      <c r="R41" s="38"/>
      <c r="S41" s="164"/>
      <c r="T41" s="39" t="s">
        <v>226</v>
      </c>
      <c r="U41" s="25"/>
      <c r="V41" s="5"/>
    </row>
    <row r="42" spans="1:22" x14ac:dyDescent="0.35">
      <c r="A42" s="24"/>
      <c r="B42" s="25" t="s">
        <v>299</v>
      </c>
      <c r="C42" s="25"/>
      <c r="D42" s="30" t="s">
        <v>237</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5.53277E-2</v>
      </c>
      <c r="E43" s="25"/>
      <c r="F43" s="38">
        <f>+F40</f>
        <v>5.6887500000000001E-2</v>
      </c>
      <c r="G43" s="39"/>
      <c r="H43" s="38">
        <v>5.7112499999999997E-2</v>
      </c>
      <c r="I43" s="39"/>
      <c r="J43" s="38">
        <f>+J40</f>
        <v>5.7987499999999997E-2</v>
      </c>
      <c r="K43" s="39"/>
      <c r="L43" s="38">
        <v>5.8352500000000002E-2</v>
      </c>
      <c r="M43" s="39"/>
      <c r="N43" s="38">
        <f>+N40</f>
        <v>6.0787500000000001E-2</v>
      </c>
      <c r="O43" s="39"/>
      <c r="P43" s="38">
        <v>6.1402499999999999E-2</v>
      </c>
      <c r="Q43" s="30"/>
      <c r="R43" s="30"/>
      <c r="S43" s="164"/>
      <c r="T43" s="39">
        <f>SUMPRODUCT(D43:P43,D35:P35)/T35</f>
        <v>5.6353895429593771E-2</v>
      </c>
      <c r="U43" s="25"/>
      <c r="V43" s="5"/>
    </row>
    <row r="44" spans="1:22" x14ac:dyDescent="0.35">
      <c r="A44" s="24"/>
      <c r="B44" s="25" t="s">
        <v>301</v>
      </c>
      <c r="C44" s="110"/>
      <c r="D44" s="38">
        <v>5.2996500000000002E-2</v>
      </c>
      <c r="E44" s="25"/>
      <c r="F44" s="38">
        <f>+F41</f>
        <v>5.4556300000000002E-2</v>
      </c>
      <c r="G44" s="39"/>
      <c r="H44" s="38">
        <v>5.4781299999999998E-2</v>
      </c>
      <c r="I44" s="39"/>
      <c r="J44" s="38">
        <f>+J41</f>
        <v>5.5656299999999999E-2</v>
      </c>
      <c r="K44" s="39"/>
      <c r="L44" s="38">
        <v>5.6021300000000003E-2</v>
      </c>
      <c r="M44" s="39"/>
      <c r="N44" s="38">
        <f>+N41</f>
        <v>5.8456300000000003E-2</v>
      </c>
      <c r="O44" s="39"/>
      <c r="P44" s="38">
        <v>5.90713E-2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0.14797276642172447</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39248</v>
      </c>
      <c r="U56" s="25"/>
      <c r="V56" s="5"/>
    </row>
    <row r="57" spans="1:23" x14ac:dyDescent="0.35">
      <c r="A57" s="24"/>
      <c r="B57" s="25" t="s">
        <v>128</v>
      </c>
      <c r="C57" s="25"/>
      <c r="D57" s="25"/>
      <c r="E57" s="25"/>
      <c r="F57" s="25"/>
      <c r="G57" s="25"/>
      <c r="H57" s="58"/>
      <c r="I57" s="58"/>
      <c r="J57" s="58"/>
      <c r="K57" s="58"/>
      <c r="L57" s="58"/>
      <c r="M57" s="58"/>
      <c r="N57" s="58"/>
      <c r="O57" s="58"/>
      <c r="P57" s="25">
        <f>+T57-R57+1</f>
        <v>90</v>
      </c>
      <c r="Q57" s="25"/>
      <c r="R57" s="45">
        <v>39066</v>
      </c>
      <c r="S57" s="46"/>
      <c r="T57" s="45">
        <v>39155</v>
      </c>
      <c r="U57" s="25"/>
      <c r="V57" s="5"/>
    </row>
    <row r="58" spans="1:23" x14ac:dyDescent="0.35">
      <c r="A58" s="24"/>
      <c r="B58" s="25" t="s">
        <v>129</v>
      </c>
      <c r="C58" s="25"/>
      <c r="D58" s="25"/>
      <c r="E58" s="25"/>
      <c r="F58" s="25"/>
      <c r="G58" s="25"/>
      <c r="H58" s="25"/>
      <c r="I58" s="25"/>
      <c r="J58" s="25"/>
      <c r="K58" s="25"/>
      <c r="L58" s="25"/>
      <c r="M58" s="25"/>
      <c r="N58" s="25"/>
      <c r="O58" s="25"/>
      <c r="P58" s="25">
        <f>+T58-R58+1</f>
        <v>92</v>
      </c>
      <c r="Q58" s="25"/>
      <c r="R58" s="45">
        <v>39156</v>
      </c>
      <c r="S58" s="46"/>
      <c r="T58" s="45">
        <v>39247</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39234</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274</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923667</v>
      </c>
      <c r="M69" s="34"/>
      <c r="N69" s="34">
        <f>37261+2952+1002</f>
        <v>41215</v>
      </c>
      <c r="O69" s="34"/>
      <c r="P69" s="34">
        <f>2952+1002</f>
        <v>3954</v>
      </c>
      <c r="Q69" s="34"/>
      <c r="R69" s="34">
        <v>0</v>
      </c>
      <c r="S69" s="34"/>
      <c r="T69" s="53">
        <f>+L69-N69+P69-R69</f>
        <v>886406</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923667</v>
      </c>
      <c r="M72" s="34"/>
      <c r="N72" s="34">
        <f>SUM(N69:N71)</f>
        <v>41215</v>
      </c>
      <c r="O72" s="34"/>
      <c r="P72" s="34">
        <f>SUM(P69:P71)</f>
        <v>3954</v>
      </c>
      <c r="Q72" s="34"/>
      <c r="R72" s="34">
        <f>SUM(R69:R71)</f>
        <v>0</v>
      </c>
      <c r="S72" s="34"/>
      <c r="T72" s="54">
        <f>SUM(T69:T71)</f>
        <v>886406</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923667</v>
      </c>
      <c r="M85" s="34"/>
      <c r="N85" s="34"/>
      <c r="O85" s="34"/>
      <c r="P85" s="34"/>
      <c r="Q85" s="34"/>
      <c r="R85" s="54"/>
      <c r="S85" s="34"/>
      <c r="T85" s="54">
        <f>SUM(T72:T84)</f>
        <v>886406</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+R196</f>
        <v>39233</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41215-87</f>
        <v>41128</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6981+6690-772-494+89</f>
        <v>12494</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233+500</f>
        <v>733</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605</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1636</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1114</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41128</v>
      </c>
      <c r="S97" s="25"/>
      <c r="T97" s="54">
        <f>SUM(T89:T96)</f>
        <v>16582</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-67</v>
      </c>
      <c r="S98" s="25"/>
      <c r="T98" s="54">
        <v>67</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32</v>
      </c>
      <c r="C100" s="25"/>
      <c r="D100" s="25"/>
      <c r="E100" s="25"/>
      <c r="F100" s="25"/>
      <c r="G100" s="25"/>
      <c r="H100" s="25"/>
      <c r="I100" s="25"/>
      <c r="J100" s="25"/>
      <c r="K100" s="25"/>
      <c r="L100" s="25"/>
      <c r="M100" s="25"/>
      <c r="N100" s="25"/>
      <c r="O100" s="25"/>
      <c r="P100" s="25"/>
      <c r="Q100" s="25"/>
      <c r="R100" s="34">
        <f>R97+R99+R98</f>
        <v>41061</v>
      </c>
      <c r="S100" s="25"/>
      <c r="T100" s="54">
        <f>T97+T99+T98</f>
        <v>16649</v>
      </c>
      <c r="U100" s="25"/>
      <c r="V100" s="5"/>
    </row>
    <row r="101" spans="1:23" x14ac:dyDescent="0.35">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3" x14ac:dyDescent="0.35">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3" x14ac:dyDescent="0.35">
      <c r="A103" s="24">
        <f>+A102+1</f>
        <v>2</v>
      </c>
      <c r="B103" s="25" t="s">
        <v>35</v>
      </c>
      <c r="C103" s="25"/>
      <c r="D103" s="25"/>
      <c r="E103" s="25"/>
      <c r="F103" s="25"/>
      <c r="G103" s="25"/>
      <c r="H103" s="25"/>
      <c r="I103" s="25"/>
      <c r="J103" s="25"/>
      <c r="K103" s="25"/>
      <c r="L103" s="25"/>
      <c r="M103" s="25"/>
      <c r="N103" s="25"/>
      <c r="O103" s="25"/>
      <c r="P103" s="25"/>
      <c r="Q103" s="25"/>
      <c r="R103" s="25"/>
      <c r="S103" s="25"/>
      <c r="T103" s="53">
        <v>-2</v>
      </c>
      <c r="U103" s="25"/>
      <c r="V103" s="5"/>
    </row>
    <row r="104" spans="1:23" x14ac:dyDescent="0.35">
      <c r="A104" s="24">
        <f>+A103+1</f>
        <v>3</v>
      </c>
      <c r="B104" s="25" t="s">
        <v>246</v>
      </c>
      <c r="C104" s="25"/>
      <c r="D104" s="25"/>
      <c r="E104" s="25"/>
      <c r="F104" s="25"/>
      <c r="G104" s="25"/>
      <c r="H104" s="25"/>
      <c r="I104" s="25"/>
      <c r="J104" s="25"/>
      <c r="K104" s="25"/>
      <c r="L104" s="25"/>
      <c r="M104" s="25"/>
      <c r="N104" s="25"/>
      <c r="O104" s="25"/>
      <c r="P104" s="25"/>
      <c r="Q104" s="25"/>
      <c r="R104" s="25"/>
      <c r="S104" s="25"/>
      <c r="T104" s="53">
        <f>-350-7-12</f>
        <v>-369</v>
      </c>
      <c r="U104" s="25"/>
      <c r="V104" s="5"/>
    </row>
    <row r="105" spans="1:23" x14ac:dyDescent="0.35">
      <c r="A105" s="24" t="s">
        <v>134</v>
      </c>
      <c r="B105" s="25" t="s">
        <v>123</v>
      </c>
      <c r="C105" s="25"/>
      <c r="D105" s="25"/>
      <c r="E105" s="25"/>
      <c r="F105" s="25"/>
      <c r="G105" s="25"/>
      <c r="H105" s="25"/>
      <c r="I105" s="25"/>
      <c r="J105" s="25"/>
      <c r="K105" s="25"/>
      <c r="L105" s="25"/>
      <c r="M105" s="25"/>
      <c r="N105" s="25"/>
      <c r="O105" s="25"/>
      <c r="P105" s="25"/>
      <c r="Q105" s="25"/>
      <c r="R105" s="25"/>
      <c r="S105" s="25"/>
      <c r="T105" s="53">
        <v>0</v>
      </c>
      <c r="U105" s="25"/>
      <c r="V105" s="5"/>
    </row>
    <row r="106" spans="1:23" x14ac:dyDescent="0.35">
      <c r="A106" s="24" t="s">
        <v>135</v>
      </c>
      <c r="B106" s="25" t="s">
        <v>169</v>
      </c>
      <c r="C106" s="25"/>
      <c r="D106" s="25"/>
      <c r="E106" s="25"/>
      <c r="F106" s="25"/>
      <c r="G106" s="25"/>
      <c r="H106" s="25"/>
      <c r="I106" s="25"/>
      <c r="J106" s="25"/>
      <c r="K106" s="25"/>
      <c r="L106" s="25"/>
      <c r="M106" s="25"/>
      <c r="N106" s="25"/>
      <c r="O106" s="25"/>
      <c r="P106" s="25"/>
      <c r="Q106" s="25"/>
      <c r="R106" s="25"/>
      <c r="S106" s="25"/>
      <c r="T106" s="53">
        <v>-1</v>
      </c>
      <c r="U106" s="25"/>
      <c r="V106" s="5"/>
    </row>
    <row r="107" spans="1:23" x14ac:dyDescent="0.35">
      <c r="A107" s="24" t="s">
        <v>157</v>
      </c>
      <c r="B107" s="25" t="s">
        <v>217</v>
      </c>
      <c r="C107" s="25"/>
      <c r="D107" s="25"/>
      <c r="E107" s="25"/>
      <c r="F107" s="25"/>
      <c r="G107" s="25"/>
      <c r="H107" s="25"/>
      <c r="I107" s="25"/>
      <c r="J107" s="25"/>
      <c r="K107" s="25"/>
      <c r="L107" s="25"/>
      <c r="M107" s="25"/>
      <c r="N107" s="25"/>
      <c r="O107" s="25"/>
      <c r="P107" s="25"/>
      <c r="Q107" s="25"/>
      <c r="R107" s="25"/>
      <c r="S107" s="25"/>
      <c r="T107" s="53">
        <f>-7731-2159</f>
        <v>-9890</v>
      </c>
      <c r="U107" s="25"/>
      <c r="V107" s="169"/>
      <c r="W107" s="109"/>
    </row>
    <row r="108" spans="1:23" x14ac:dyDescent="0.35">
      <c r="A108" s="24" t="s">
        <v>158</v>
      </c>
      <c r="B108" s="25" t="s">
        <v>213</v>
      </c>
      <c r="C108" s="25"/>
      <c r="D108" s="25"/>
      <c r="E108" s="25"/>
      <c r="F108" s="25"/>
      <c r="G108" s="25"/>
      <c r="H108" s="25"/>
      <c r="I108" s="25"/>
      <c r="J108" s="25"/>
      <c r="K108" s="25"/>
      <c r="L108" s="25"/>
      <c r="M108" s="25"/>
      <c r="N108" s="25"/>
      <c r="O108" s="25"/>
      <c r="P108" s="25"/>
      <c r="Q108" s="25"/>
      <c r="R108" s="25"/>
      <c r="S108" s="25"/>
      <c r="T108" s="53">
        <v>-1506</v>
      </c>
      <c r="U108" s="25"/>
      <c r="V108" s="5"/>
      <c r="W108" s="109"/>
    </row>
    <row r="109" spans="1:23" x14ac:dyDescent="0.35">
      <c r="A109" s="24" t="s">
        <v>247</v>
      </c>
      <c r="B109" s="25" t="s">
        <v>214</v>
      </c>
      <c r="C109" s="25"/>
      <c r="D109" s="25"/>
      <c r="E109" s="25"/>
      <c r="F109" s="25"/>
      <c r="G109" s="25"/>
      <c r="H109" s="25"/>
      <c r="I109" s="25"/>
      <c r="J109" s="25"/>
      <c r="K109" s="25"/>
      <c r="L109" s="25"/>
      <c r="M109" s="25"/>
      <c r="N109" s="25"/>
      <c r="O109" s="25"/>
      <c r="P109" s="25"/>
      <c r="Q109" s="25"/>
      <c r="R109" s="25"/>
      <c r="S109" s="25"/>
      <c r="T109" s="53">
        <v>-194</v>
      </c>
      <c r="U109" s="25"/>
      <c r="V109" s="5"/>
      <c r="W109" s="109"/>
    </row>
    <row r="110" spans="1:23" x14ac:dyDescent="0.35">
      <c r="A110" s="24" t="s">
        <v>248</v>
      </c>
      <c r="B110" s="25" t="s">
        <v>215</v>
      </c>
      <c r="C110" s="25"/>
      <c r="D110" s="25"/>
      <c r="E110" s="25"/>
      <c r="F110" s="25"/>
      <c r="G110" s="25"/>
      <c r="H110" s="25"/>
      <c r="I110" s="25"/>
      <c r="J110" s="25"/>
      <c r="K110" s="25"/>
      <c r="L110" s="25"/>
      <c r="M110" s="25"/>
      <c r="N110" s="25"/>
      <c r="O110" s="25"/>
      <c r="P110" s="25"/>
      <c r="Q110" s="25"/>
      <c r="R110" s="25"/>
      <c r="S110" s="25"/>
      <c r="T110" s="53">
        <v>-453</v>
      </c>
      <c r="U110" s="25"/>
      <c r="V110" s="5"/>
      <c r="W110" s="109"/>
    </row>
    <row r="111" spans="1:23" x14ac:dyDescent="0.35">
      <c r="A111" s="24" t="s">
        <v>249</v>
      </c>
      <c r="B111" s="25" t="s">
        <v>230</v>
      </c>
      <c r="C111" s="25"/>
      <c r="D111" s="25"/>
      <c r="E111" s="25"/>
      <c r="F111" s="25"/>
      <c r="G111" s="25"/>
      <c r="H111" s="25"/>
      <c r="I111" s="25"/>
      <c r="J111" s="25"/>
      <c r="K111" s="25"/>
      <c r="L111" s="25"/>
      <c r="M111" s="25"/>
      <c r="N111" s="25"/>
      <c r="O111" s="25"/>
      <c r="P111" s="25"/>
      <c r="Q111" s="25"/>
      <c r="R111" s="25"/>
      <c r="S111" s="25"/>
      <c r="T111" s="53">
        <v>-288</v>
      </c>
      <c r="U111" s="25"/>
      <c r="V111" s="5"/>
      <c r="W111" s="109"/>
    </row>
    <row r="112" spans="1:23" x14ac:dyDescent="0.35">
      <c r="A112" s="24" t="s">
        <v>250</v>
      </c>
      <c r="B112" s="25" t="s">
        <v>216</v>
      </c>
      <c r="C112" s="25"/>
      <c r="D112" s="25"/>
      <c r="E112" s="25"/>
      <c r="F112" s="25"/>
      <c r="G112" s="25"/>
      <c r="H112" s="25"/>
      <c r="I112" s="25"/>
      <c r="J112" s="25"/>
      <c r="K112" s="25"/>
      <c r="L112" s="25"/>
      <c r="M112" s="25"/>
      <c r="N112" s="25"/>
      <c r="O112" s="25"/>
      <c r="P112" s="25"/>
      <c r="Q112" s="25"/>
      <c r="R112" s="25"/>
      <c r="S112" s="25"/>
      <c r="T112" s="53">
        <v>-789</v>
      </c>
      <c r="U112" s="25"/>
      <c r="V112" s="5"/>
      <c r="W112" s="109"/>
    </row>
    <row r="113" spans="1:22" x14ac:dyDescent="0.35">
      <c r="A113" s="24">
        <v>7</v>
      </c>
      <c r="B113" s="25" t="s">
        <v>36</v>
      </c>
      <c r="C113" s="25"/>
      <c r="D113" s="25"/>
      <c r="E113" s="25"/>
      <c r="F113" s="25"/>
      <c r="G113" s="25"/>
      <c r="H113" s="25"/>
      <c r="I113" s="25"/>
      <c r="J113" s="25"/>
      <c r="K113" s="25"/>
      <c r="L113" s="25"/>
      <c r="M113" s="25"/>
      <c r="N113" s="25"/>
      <c r="O113" s="25"/>
      <c r="P113" s="25"/>
      <c r="Q113" s="25"/>
      <c r="R113" s="25"/>
      <c r="S113" s="25"/>
      <c r="T113" s="53">
        <v>-13</v>
      </c>
      <c r="U113" s="25"/>
      <c r="V113" s="5"/>
    </row>
    <row r="114" spans="1:22" x14ac:dyDescent="0.35">
      <c r="A114" s="24">
        <f t="shared" ref="A114:A119" si="0">+A113+1</f>
        <v>8</v>
      </c>
      <c r="B114" s="25" t="s">
        <v>47</v>
      </c>
      <c r="C114" s="25"/>
      <c r="D114" s="25"/>
      <c r="E114" s="25"/>
      <c r="F114" s="25"/>
      <c r="G114" s="25"/>
      <c r="H114" s="25"/>
      <c r="I114" s="25"/>
      <c r="J114" s="25"/>
      <c r="K114" s="25"/>
      <c r="L114" s="25"/>
      <c r="M114" s="25"/>
      <c r="N114" s="25"/>
      <c r="O114" s="25"/>
      <c r="P114" s="25"/>
      <c r="Q114" s="25"/>
      <c r="R114" s="34">
        <f>-T114</f>
        <v>87</v>
      </c>
      <c r="S114" s="25"/>
      <c r="T114" s="53">
        <v>-87</v>
      </c>
      <c r="U114" s="25"/>
      <c r="V114" s="5"/>
    </row>
    <row r="115" spans="1:22" x14ac:dyDescent="0.35">
      <c r="A115" s="24">
        <f t="shared" si="0"/>
        <v>9</v>
      </c>
      <c r="B115" s="25" t="s">
        <v>132</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10</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11</v>
      </c>
      <c r="B117" s="25" t="s">
        <v>38</v>
      </c>
      <c r="C117" s="25"/>
      <c r="D117" s="25"/>
      <c r="E117" s="25"/>
      <c r="F117" s="25"/>
      <c r="G117" s="25"/>
      <c r="H117" s="25"/>
      <c r="I117" s="25"/>
      <c r="J117" s="25"/>
      <c r="K117" s="25"/>
      <c r="L117" s="25"/>
      <c r="M117" s="25"/>
      <c r="N117" s="25"/>
      <c r="O117" s="25"/>
      <c r="P117" s="25"/>
      <c r="Q117" s="25"/>
      <c r="R117" s="25"/>
      <c r="S117" s="25"/>
      <c r="T117" s="53">
        <v>0</v>
      </c>
      <c r="U117" s="25"/>
      <c r="V117" s="5"/>
    </row>
    <row r="118" spans="1:22" x14ac:dyDescent="0.35">
      <c r="A118" s="24">
        <f t="shared" si="0"/>
        <v>12</v>
      </c>
      <c r="B118" s="25" t="s">
        <v>156</v>
      </c>
      <c r="C118" s="25"/>
      <c r="D118" s="25"/>
      <c r="E118" s="25"/>
      <c r="F118" s="25"/>
      <c r="G118" s="25"/>
      <c r="H118" s="25"/>
      <c r="I118" s="25"/>
      <c r="J118" s="25"/>
      <c r="K118" s="25"/>
      <c r="L118" s="25"/>
      <c r="M118" s="25"/>
      <c r="N118" s="25"/>
      <c r="O118" s="25"/>
      <c r="P118" s="25"/>
      <c r="Q118" s="25"/>
      <c r="R118" s="25"/>
      <c r="S118" s="25"/>
      <c r="T118" s="53">
        <v>-349</v>
      </c>
      <c r="U118" s="25"/>
      <c r="V118" s="5"/>
    </row>
    <row r="119" spans="1:22" x14ac:dyDescent="0.35">
      <c r="A119" s="24">
        <f t="shared" si="0"/>
        <v>13</v>
      </c>
      <c r="B119" s="25" t="s">
        <v>133</v>
      </c>
      <c r="C119" s="25"/>
      <c r="D119" s="25"/>
      <c r="E119" s="25"/>
      <c r="F119" s="25"/>
      <c r="G119" s="25"/>
      <c r="H119" s="25"/>
      <c r="I119" s="25"/>
      <c r="J119" s="25"/>
      <c r="K119" s="25"/>
      <c r="L119" s="25"/>
      <c r="M119" s="25"/>
      <c r="N119" s="25"/>
      <c r="O119" s="25"/>
      <c r="P119" s="25"/>
      <c r="Q119" s="25"/>
      <c r="R119" s="25"/>
      <c r="S119" s="25"/>
      <c r="T119" s="53">
        <f>-T100-SUM(T102:T118)</f>
        <v>-2708</v>
      </c>
      <c r="U119" s="25"/>
      <c r="V119" s="5"/>
    </row>
    <row r="120" spans="1:22" x14ac:dyDescent="0.35">
      <c r="A120" s="24"/>
      <c r="B120" s="118" t="s">
        <v>39</v>
      </c>
      <c r="C120" s="25"/>
      <c r="D120" s="25"/>
      <c r="E120" s="25"/>
      <c r="F120" s="25"/>
      <c r="G120" s="25"/>
      <c r="H120" s="25"/>
      <c r="I120" s="25"/>
      <c r="J120" s="25"/>
      <c r="K120" s="25"/>
      <c r="L120" s="25"/>
      <c r="M120" s="25"/>
      <c r="N120" s="25"/>
      <c r="O120" s="25"/>
      <c r="P120" s="25"/>
      <c r="Q120" s="25"/>
      <c r="R120" s="25"/>
      <c r="S120" s="25"/>
      <c r="T120" s="59"/>
      <c r="U120" s="25"/>
      <c r="V120" s="5"/>
    </row>
    <row r="121" spans="1:22" x14ac:dyDescent="0.35">
      <c r="A121" s="24"/>
      <c r="B121" s="25" t="s">
        <v>184</v>
      </c>
      <c r="C121" s="25"/>
      <c r="D121" s="25"/>
      <c r="E121" s="25"/>
      <c r="F121" s="25"/>
      <c r="G121" s="25"/>
      <c r="H121" s="25"/>
      <c r="I121" s="25"/>
      <c r="J121" s="25"/>
      <c r="K121" s="25"/>
      <c r="L121" s="25"/>
      <c r="M121" s="25"/>
      <c r="N121" s="25"/>
      <c r="O121" s="25"/>
      <c r="P121" s="25"/>
      <c r="Q121" s="25"/>
      <c r="R121" s="34">
        <f>-R180</f>
        <v>-340</v>
      </c>
      <c r="S121" s="34"/>
      <c r="T121" s="53"/>
      <c r="U121" s="25"/>
      <c r="V121" s="5"/>
    </row>
    <row r="122" spans="1:22" x14ac:dyDescent="0.35">
      <c r="A122" s="24"/>
      <c r="B122" s="25" t="s">
        <v>185</v>
      </c>
      <c r="C122" s="25"/>
      <c r="D122" s="25"/>
      <c r="E122" s="25"/>
      <c r="F122" s="25"/>
      <c r="G122" s="25"/>
      <c r="H122" s="25"/>
      <c r="I122" s="25"/>
      <c r="J122" s="25"/>
      <c r="K122" s="25"/>
      <c r="L122" s="25"/>
      <c r="M122" s="25"/>
      <c r="N122" s="25"/>
      <c r="O122" s="25"/>
      <c r="P122" s="25"/>
      <c r="Q122" s="25"/>
      <c r="R122" s="34">
        <v>-47</v>
      </c>
      <c r="S122" s="34"/>
      <c r="T122" s="53"/>
      <c r="U122" s="25"/>
      <c r="V122" s="5"/>
    </row>
    <row r="123" spans="1:22" x14ac:dyDescent="0.35">
      <c r="A123" s="24"/>
      <c r="B123" s="25" t="s">
        <v>40</v>
      </c>
      <c r="C123" s="25"/>
      <c r="D123" s="25"/>
      <c r="E123" s="25"/>
      <c r="F123" s="25"/>
      <c r="G123" s="25"/>
      <c r="H123" s="25"/>
      <c r="I123" s="25"/>
      <c r="J123" s="25"/>
      <c r="K123" s="25"/>
      <c r="L123" s="25"/>
      <c r="M123" s="25"/>
      <c r="N123" s="25"/>
      <c r="O123" s="25"/>
      <c r="P123" s="25"/>
      <c r="Q123" s="25"/>
      <c r="R123" s="34">
        <f>-Q180</f>
        <v>-3500</v>
      </c>
      <c r="S123" s="34"/>
      <c r="T123" s="53"/>
      <c r="U123" s="25"/>
      <c r="V123" s="5"/>
    </row>
    <row r="124" spans="1:22" x14ac:dyDescent="0.35">
      <c r="A124" s="24"/>
      <c r="B124" s="25" t="s">
        <v>231</v>
      </c>
      <c r="C124" s="25"/>
      <c r="D124" s="25"/>
      <c r="E124" s="25"/>
      <c r="F124" s="25"/>
      <c r="G124" s="25"/>
      <c r="H124" s="25"/>
      <c r="I124" s="25"/>
      <c r="J124" s="25"/>
      <c r="K124" s="25"/>
      <c r="L124" s="25"/>
      <c r="M124" s="25"/>
      <c r="N124" s="25"/>
      <c r="O124" s="25"/>
      <c r="P124" s="25"/>
      <c r="Q124" s="25"/>
      <c r="R124" s="34">
        <v>-37261</v>
      </c>
      <c r="S124" s="34"/>
      <c r="T124" s="53"/>
      <c r="U124" s="25"/>
      <c r="V124" s="5"/>
    </row>
    <row r="125" spans="1:22" x14ac:dyDescent="0.35">
      <c r="A125" s="24"/>
      <c r="B125" s="25" t="s">
        <v>229</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228</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221</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220</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219</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218</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41</v>
      </c>
      <c r="C131" s="25"/>
      <c r="D131" s="25"/>
      <c r="E131" s="25"/>
      <c r="F131" s="25"/>
      <c r="G131" s="25"/>
      <c r="H131" s="25"/>
      <c r="I131" s="25"/>
      <c r="J131" s="25"/>
      <c r="K131" s="25"/>
      <c r="L131" s="25"/>
      <c r="M131" s="25"/>
      <c r="N131" s="25"/>
      <c r="O131" s="25"/>
      <c r="P131" s="25"/>
      <c r="Q131" s="25"/>
      <c r="R131" s="34">
        <f>SUM(R121:R130)</f>
        <v>-41148</v>
      </c>
      <c r="S131" s="34"/>
      <c r="T131" s="34">
        <f>SUM(T101:T129)</f>
        <v>-16649</v>
      </c>
      <c r="U131" s="25"/>
      <c r="V131" s="5"/>
    </row>
    <row r="132" spans="1:22" x14ac:dyDescent="0.35">
      <c r="A132" s="24"/>
      <c r="B132" s="25" t="s">
        <v>42</v>
      </c>
      <c r="C132" s="25"/>
      <c r="D132" s="25"/>
      <c r="E132" s="25"/>
      <c r="F132" s="25"/>
      <c r="G132" s="25"/>
      <c r="H132" s="25"/>
      <c r="I132" s="25"/>
      <c r="J132" s="25"/>
      <c r="K132" s="25"/>
      <c r="L132" s="25"/>
      <c r="M132" s="25"/>
      <c r="N132" s="25"/>
      <c r="O132" s="25"/>
      <c r="P132" s="25"/>
      <c r="Q132" s="25"/>
      <c r="R132" s="34">
        <f>R100+R131+R114</f>
        <v>0</v>
      </c>
      <c r="S132" s="34"/>
      <c r="T132" s="34">
        <f>T100+T131</f>
        <v>0</v>
      </c>
      <c r="U132" s="25"/>
      <c r="V132" s="5"/>
    </row>
    <row r="133" spans="1:22" x14ac:dyDescent="0.35">
      <c r="A133" s="24"/>
      <c r="B133" s="25"/>
      <c r="C133" s="25"/>
      <c r="D133" s="25"/>
      <c r="E133" s="25"/>
      <c r="F133" s="25"/>
      <c r="G133" s="25"/>
      <c r="H133" s="25"/>
      <c r="I133" s="25"/>
      <c r="J133" s="25"/>
      <c r="K133" s="25"/>
      <c r="L133" s="25"/>
      <c r="M133" s="25"/>
      <c r="N133" s="25"/>
      <c r="O133" s="25"/>
      <c r="P133" s="25"/>
      <c r="Q133" s="25"/>
      <c r="R133" s="34"/>
      <c r="S133" s="34"/>
      <c r="T133" s="34"/>
      <c r="U133" s="25"/>
      <c r="V133" s="5"/>
    </row>
    <row r="134" spans="1:22" x14ac:dyDescent="0.35">
      <c r="A134" s="6"/>
      <c r="B134" s="8"/>
      <c r="C134" s="8"/>
      <c r="D134" s="8"/>
      <c r="E134" s="8"/>
      <c r="F134" s="8"/>
      <c r="G134" s="8"/>
      <c r="H134" s="8"/>
      <c r="I134" s="8"/>
      <c r="J134" s="8"/>
      <c r="K134" s="8"/>
      <c r="L134" s="8"/>
      <c r="M134" s="8"/>
      <c r="N134" s="8"/>
      <c r="O134" s="8"/>
      <c r="P134" s="8"/>
      <c r="Q134" s="8"/>
      <c r="R134" s="8"/>
      <c r="S134" s="8"/>
      <c r="T134" s="52"/>
      <c r="U134" s="8"/>
      <c r="V134" s="5"/>
    </row>
    <row r="135" spans="1:22" ht="18" thickBot="1" x14ac:dyDescent="0.4">
      <c r="A135" s="101"/>
      <c r="B135" s="102" t="str">
        <f>B64</f>
        <v>PM10 INVESTOR REPORT QUARTER ENDING MAY 2007</v>
      </c>
      <c r="C135" s="103"/>
      <c r="D135" s="103"/>
      <c r="E135" s="103"/>
      <c r="F135" s="103"/>
      <c r="G135" s="103"/>
      <c r="H135" s="103"/>
      <c r="I135" s="103"/>
      <c r="J135" s="103"/>
      <c r="K135" s="103"/>
      <c r="L135" s="103"/>
      <c r="M135" s="103"/>
      <c r="N135" s="103"/>
      <c r="O135" s="103"/>
      <c r="P135" s="103"/>
      <c r="Q135" s="103"/>
      <c r="R135" s="103"/>
      <c r="S135" s="103"/>
      <c r="T135" s="106"/>
      <c r="U135" s="105"/>
      <c r="V135" s="5"/>
    </row>
    <row r="136" spans="1:22" x14ac:dyDescent="0.35">
      <c r="A136" s="2"/>
      <c r="B136" s="60" t="s">
        <v>43</v>
      </c>
      <c r="C136" s="4"/>
      <c r="D136" s="4"/>
      <c r="E136" s="4"/>
      <c r="F136" s="4"/>
      <c r="G136" s="4"/>
      <c r="H136" s="4"/>
      <c r="I136" s="4"/>
      <c r="J136" s="4"/>
      <c r="K136" s="4"/>
      <c r="L136" s="4"/>
      <c r="M136" s="4"/>
      <c r="N136" s="4"/>
      <c r="O136" s="4"/>
      <c r="P136" s="4"/>
      <c r="Q136" s="4"/>
      <c r="R136" s="4"/>
      <c r="S136" s="4"/>
      <c r="T136" s="50"/>
      <c r="U136" s="4"/>
      <c r="V136" s="5"/>
    </row>
    <row r="137" spans="1:22" x14ac:dyDescent="0.35">
      <c r="A137" s="6"/>
      <c r="B137" s="21"/>
      <c r="C137" s="8"/>
      <c r="D137" s="8"/>
      <c r="E137" s="8"/>
      <c r="F137" s="8"/>
      <c r="G137" s="8"/>
      <c r="H137" s="8"/>
      <c r="I137" s="8"/>
      <c r="J137" s="8"/>
      <c r="K137" s="8"/>
      <c r="L137" s="8"/>
      <c r="M137" s="8"/>
      <c r="N137" s="8"/>
      <c r="O137" s="8"/>
      <c r="P137" s="8"/>
      <c r="Q137" s="8"/>
      <c r="R137" s="8"/>
      <c r="S137" s="8"/>
      <c r="T137" s="52"/>
      <c r="U137" s="8"/>
      <c r="V137" s="5"/>
    </row>
    <row r="138" spans="1:22" x14ac:dyDescent="0.35">
      <c r="A138" s="6"/>
      <c r="B138" s="119" t="s">
        <v>44</v>
      </c>
      <c r="C138" s="8"/>
      <c r="D138" s="8"/>
      <c r="E138" s="8"/>
      <c r="F138" s="8"/>
      <c r="G138" s="8"/>
      <c r="H138" s="8"/>
      <c r="I138" s="8"/>
      <c r="J138" s="8"/>
      <c r="K138" s="8"/>
      <c r="L138" s="8"/>
      <c r="M138" s="8"/>
      <c r="N138" s="8"/>
      <c r="O138" s="8"/>
      <c r="P138" s="8"/>
      <c r="Q138" s="8"/>
      <c r="R138" s="8"/>
      <c r="S138" s="8"/>
      <c r="T138" s="52"/>
      <c r="U138" s="8"/>
      <c r="V138" s="5"/>
    </row>
    <row r="139" spans="1:22" x14ac:dyDescent="0.35">
      <c r="A139" s="24"/>
      <c r="B139" s="25" t="s">
        <v>45</v>
      </c>
      <c r="C139" s="25"/>
      <c r="D139" s="25"/>
      <c r="E139" s="25"/>
      <c r="F139" s="25"/>
      <c r="G139" s="25"/>
      <c r="H139" s="25"/>
      <c r="I139" s="25"/>
      <c r="J139" s="25"/>
      <c r="K139" s="25"/>
      <c r="L139" s="25"/>
      <c r="M139" s="25"/>
      <c r="N139" s="25"/>
      <c r="O139" s="25"/>
      <c r="P139" s="25"/>
      <c r="Q139" s="25"/>
      <c r="R139" s="25"/>
      <c r="S139" s="25"/>
      <c r="T139" s="53">
        <f>+T34*0.0186</f>
        <v>18606.565799999997</v>
      </c>
      <c r="U139" s="25"/>
      <c r="V139" s="5"/>
    </row>
    <row r="140" spans="1:22" x14ac:dyDescent="0.35">
      <c r="A140" s="24"/>
      <c r="B140" s="25" t="s">
        <v>46</v>
      </c>
      <c r="C140" s="25"/>
      <c r="D140" s="25"/>
      <c r="E140" s="25"/>
      <c r="F140" s="25"/>
      <c r="G140" s="25"/>
      <c r="H140" s="25"/>
      <c r="I140" s="25"/>
      <c r="J140" s="25"/>
      <c r="K140" s="25"/>
      <c r="L140" s="25"/>
      <c r="M140" s="25"/>
      <c r="N140" s="25"/>
      <c r="O140" s="25"/>
      <c r="P140" s="25"/>
      <c r="Q140" s="25"/>
      <c r="R140" s="25"/>
      <c r="S140" s="25"/>
      <c r="T140" s="53">
        <v>18607</v>
      </c>
      <c r="U140" s="25"/>
      <c r="V140" s="5"/>
    </row>
    <row r="141" spans="1:22" x14ac:dyDescent="0.35">
      <c r="A141" s="24"/>
      <c r="B141" s="25" t="s">
        <v>143</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130</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131</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186</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47</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136</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222</v>
      </c>
      <c r="C147" s="25"/>
      <c r="D147" s="25"/>
      <c r="E147" s="25"/>
      <c r="F147" s="25"/>
      <c r="G147" s="25"/>
      <c r="H147" s="25"/>
      <c r="I147" s="25"/>
      <c r="J147" s="25"/>
      <c r="K147" s="25"/>
      <c r="L147" s="25"/>
      <c r="M147" s="25"/>
      <c r="N147" s="25"/>
      <c r="O147" s="25"/>
      <c r="P147" s="25"/>
      <c r="Q147" s="25"/>
      <c r="R147" s="25"/>
      <c r="S147" s="25"/>
      <c r="T147" s="53">
        <v>0</v>
      </c>
      <c r="U147" s="25"/>
      <c r="V147" s="5"/>
      <c r="W147" s="109"/>
    </row>
    <row r="148" spans="1:23" x14ac:dyDescent="0.35">
      <c r="A148" s="24"/>
      <c r="B148" s="25" t="s">
        <v>48</v>
      </c>
      <c r="C148" s="25"/>
      <c r="D148" s="25"/>
      <c r="E148" s="25"/>
      <c r="F148" s="25"/>
      <c r="G148" s="25"/>
      <c r="H148" s="25"/>
      <c r="I148" s="25"/>
      <c r="J148" s="25"/>
      <c r="K148" s="25"/>
      <c r="L148" s="25"/>
      <c r="M148" s="25"/>
      <c r="N148" s="25"/>
      <c r="O148" s="25"/>
      <c r="P148" s="25"/>
      <c r="Q148" s="25"/>
      <c r="R148" s="25"/>
      <c r="S148" s="25"/>
      <c r="T148" s="53">
        <f>SUM(T140:T147)</f>
        <v>18607</v>
      </c>
      <c r="U148" s="25"/>
      <c r="V148" s="5"/>
    </row>
    <row r="149" spans="1:23" x14ac:dyDescent="0.35">
      <c r="A149" s="24"/>
      <c r="B149" s="25"/>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139" t="s">
        <v>266</v>
      </c>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25" t="s">
        <v>163</v>
      </c>
      <c r="C151" s="25"/>
      <c r="D151" s="25"/>
      <c r="E151" s="25"/>
      <c r="F151" s="25"/>
      <c r="G151" s="25"/>
      <c r="H151" s="25"/>
      <c r="I151" s="25"/>
      <c r="J151" s="25"/>
      <c r="K151" s="25"/>
      <c r="L151" s="25"/>
      <c r="M151" s="25"/>
      <c r="N151" s="25"/>
      <c r="O151" s="25"/>
      <c r="P151" s="25"/>
      <c r="Q151" s="25"/>
      <c r="R151" s="25"/>
      <c r="S151" s="25"/>
      <c r="T151" s="53">
        <v>5750</v>
      </c>
      <c r="U151" s="25"/>
      <c r="V151" s="5"/>
    </row>
    <row r="152" spans="1:23" x14ac:dyDescent="0.35">
      <c r="A152" s="24"/>
      <c r="B152" s="25" t="s">
        <v>264</v>
      </c>
      <c r="C152" s="25"/>
      <c r="D152" s="25"/>
      <c r="E152" s="25"/>
      <c r="F152" s="25"/>
      <c r="G152" s="25"/>
      <c r="H152" s="25"/>
      <c r="I152" s="25"/>
      <c r="J152" s="25"/>
      <c r="K152" s="25"/>
      <c r="L152" s="25"/>
      <c r="M152" s="25"/>
      <c r="N152" s="25"/>
      <c r="O152" s="25"/>
      <c r="P152" s="25"/>
      <c r="Q152" s="25"/>
      <c r="R152" s="25"/>
      <c r="S152" s="25"/>
      <c r="T152" s="53">
        <v>4455</v>
      </c>
      <c r="U152" s="25"/>
      <c r="V152" s="5"/>
    </row>
    <row r="153" spans="1:23" x14ac:dyDescent="0.35">
      <c r="A153" s="24"/>
      <c r="B153" s="25" t="s">
        <v>183</v>
      </c>
      <c r="C153" s="25"/>
      <c r="D153" s="25"/>
      <c r="E153" s="25"/>
      <c r="F153" s="25"/>
      <c r="G153" s="25"/>
      <c r="H153" s="25"/>
      <c r="I153" s="25"/>
      <c r="J153" s="25"/>
      <c r="K153" s="25"/>
      <c r="L153" s="25"/>
      <c r="M153" s="25"/>
      <c r="N153" s="25"/>
      <c r="O153" s="25"/>
      <c r="P153" s="25"/>
      <c r="Q153" s="25"/>
      <c r="R153" s="25"/>
      <c r="S153" s="25"/>
      <c r="T153" s="53">
        <v>0</v>
      </c>
      <c r="U153" s="25"/>
      <c r="V153" s="5"/>
    </row>
    <row r="154" spans="1:23" x14ac:dyDescent="0.35">
      <c r="A154" s="24"/>
      <c r="B154" s="25" t="s">
        <v>267</v>
      </c>
      <c r="C154" s="25"/>
      <c r="D154" s="25"/>
      <c r="E154" s="25"/>
      <c r="F154" s="25"/>
      <c r="G154" s="25"/>
      <c r="H154" s="25"/>
      <c r="I154" s="25"/>
      <c r="J154" s="25"/>
      <c r="K154" s="25"/>
      <c r="L154" s="25"/>
      <c r="M154" s="25"/>
      <c r="N154" s="25"/>
      <c r="O154" s="25"/>
      <c r="P154" s="25"/>
      <c r="Q154" s="25"/>
      <c r="R154" s="25"/>
      <c r="S154" s="25"/>
      <c r="T154" s="53">
        <v>4173</v>
      </c>
      <c r="U154" s="25"/>
      <c r="V154" s="5"/>
    </row>
    <row r="155" spans="1:23" x14ac:dyDescent="0.35">
      <c r="A155" s="24"/>
      <c r="B155" s="25"/>
      <c r="C155" s="25"/>
      <c r="D155" s="25"/>
      <c r="E155" s="25"/>
      <c r="F155" s="25"/>
      <c r="G155" s="25"/>
      <c r="H155" s="25"/>
      <c r="I155" s="25"/>
      <c r="J155" s="25"/>
      <c r="K155" s="25"/>
      <c r="L155" s="25"/>
      <c r="M155" s="25"/>
      <c r="N155" s="25"/>
      <c r="O155" s="25"/>
      <c r="P155" s="25"/>
      <c r="Q155" s="25"/>
      <c r="R155" s="25"/>
      <c r="S155" s="25"/>
      <c r="T155" s="53"/>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61"/>
      <c r="U156" s="25"/>
      <c r="V156" s="5"/>
    </row>
    <row r="157" spans="1:23" x14ac:dyDescent="0.35">
      <c r="A157" s="6"/>
      <c r="B157" s="119" t="s">
        <v>24</v>
      </c>
      <c r="C157" s="8"/>
      <c r="D157" s="8"/>
      <c r="E157" s="8"/>
      <c r="F157" s="8"/>
      <c r="G157" s="8"/>
      <c r="H157" s="8"/>
      <c r="I157" s="8"/>
      <c r="J157" s="8"/>
      <c r="K157" s="8"/>
      <c r="L157" s="8"/>
      <c r="M157" s="8"/>
      <c r="N157" s="8"/>
      <c r="O157" s="8"/>
      <c r="P157" s="8"/>
      <c r="Q157" s="8"/>
      <c r="R157" s="8"/>
      <c r="S157" s="8"/>
      <c r="T157" s="52"/>
      <c r="U157" s="8"/>
      <c r="V157" s="5"/>
    </row>
    <row r="158" spans="1:23" x14ac:dyDescent="0.35">
      <c r="A158" s="24"/>
      <c r="B158" s="25" t="s">
        <v>49</v>
      </c>
      <c r="C158" s="25"/>
      <c r="D158" s="25"/>
      <c r="E158" s="25"/>
      <c r="F158" s="25"/>
      <c r="G158" s="25"/>
      <c r="H158" s="25"/>
      <c r="I158" s="25"/>
      <c r="J158" s="25"/>
      <c r="K158" s="25"/>
      <c r="L158" s="25"/>
      <c r="M158" s="25"/>
      <c r="N158" s="25"/>
      <c r="O158" s="25"/>
      <c r="P158" s="25"/>
      <c r="Q158" s="25"/>
      <c r="R158" s="25"/>
      <c r="S158" s="25"/>
      <c r="T158" s="59" t="s">
        <v>125</v>
      </c>
      <c r="U158" s="25"/>
      <c r="V158" s="5"/>
    </row>
    <row r="159" spans="1:23" x14ac:dyDescent="0.35">
      <c r="A159" s="24"/>
      <c r="B159" s="25" t="s">
        <v>50</v>
      </c>
      <c r="C159" s="164"/>
      <c r="D159" s="164"/>
      <c r="E159" s="164"/>
      <c r="F159" s="164"/>
      <c r="G159" s="164"/>
      <c r="H159" s="164"/>
      <c r="I159" s="164"/>
      <c r="J159" s="164"/>
      <c r="K159" s="164"/>
      <c r="L159" s="164"/>
      <c r="M159" s="164"/>
      <c r="N159" s="164"/>
      <c r="O159" s="164"/>
      <c r="P159" s="164"/>
      <c r="Q159" s="164"/>
      <c r="R159" s="164"/>
      <c r="S159" s="164"/>
      <c r="T159" s="59" t="s">
        <v>125</v>
      </c>
      <c r="U159" s="25"/>
      <c r="V159" s="5"/>
    </row>
    <row r="160" spans="1:23" x14ac:dyDescent="0.35">
      <c r="A160" s="24"/>
      <c r="B160" s="25" t="s">
        <v>51</v>
      </c>
      <c r="C160" s="25"/>
      <c r="D160" s="25"/>
      <c r="E160" s="25"/>
      <c r="F160" s="25"/>
      <c r="G160" s="25"/>
      <c r="H160" s="25"/>
      <c r="I160" s="25"/>
      <c r="J160" s="25"/>
      <c r="K160" s="25"/>
      <c r="L160" s="25"/>
      <c r="M160" s="25"/>
      <c r="N160" s="25"/>
      <c r="O160" s="25"/>
      <c r="P160" s="25"/>
      <c r="Q160" s="25"/>
      <c r="R160" s="25"/>
      <c r="S160" s="25"/>
      <c r="T160" s="59" t="s">
        <v>125</v>
      </c>
      <c r="U160" s="25"/>
      <c r="V160" s="5"/>
    </row>
    <row r="161" spans="1:22" x14ac:dyDescent="0.35">
      <c r="A161" s="24"/>
      <c r="B161" s="25" t="s">
        <v>52</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c r="C162" s="25"/>
      <c r="D162" s="25"/>
      <c r="E162" s="25"/>
      <c r="F162" s="25"/>
      <c r="G162" s="25"/>
      <c r="H162" s="25"/>
      <c r="I162" s="25"/>
      <c r="J162" s="25"/>
      <c r="K162" s="25"/>
      <c r="L162" s="25"/>
      <c r="M162" s="25"/>
      <c r="N162" s="25"/>
      <c r="O162" s="25"/>
      <c r="P162" s="25"/>
      <c r="Q162" s="25"/>
      <c r="R162" s="25"/>
      <c r="S162" s="25"/>
      <c r="T162" s="61"/>
      <c r="U162" s="25"/>
      <c r="V162" s="5"/>
    </row>
    <row r="163" spans="1:22" x14ac:dyDescent="0.35">
      <c r="A163" s="6"/>
      <c r="B163" s="119" t="s">
        <v>53</v>
      </c>
      <c r="C163" s="8"/>
      <c r="D163" s="8"/>
      <c r="E163" s="8"/>
      <c r="F163" s="8"/>
      <c r="G163" s="8"/>
      <c r="H163" s="8"/>
      <c r="I163" s="8"/>
      <c r="J163" s="8"/>
      <c r="K163" s="8"/>
      <c r="L163" s="8"/>
      <c r="M163" s="8"/>
      <c r="N163" s="8"/>
      <c r="O163" s="8"/>
      <c r="P163" s="8"/>
      <c r="Q163" s="8"/>
      <c r="R163" s="8"/>
      <c r="S163" s="8"/>
      <c r="T163" s="63"/>
      <c r="U163" s="8"/>
      <c r="V163" s="5"/>
    </row>
    <row r="164" spans="1:22" x14ac:dyDescent="0.35">
      <c r="A164" s="24"/>
      <c r="B164" s="25" t="s">
        <v>54</v>
      </c>
      <c r="C164" s="25"/>
      <c r="D164" s="25"/>
      <c r="E164" s="25"/>
      <c r="F164" s="25"/>
      <c r="G164" s="25"/>
      <c r="H164" s="25"/>
      <c r="I164" s="25"/>
      <c r="J164" s="25"/>
      <c r="K164" s="25"/>
      <c r="L164" s="25"/>
      <c r="M164" s="25"/>
      <c r="N164" s="25"/>
      <c r="O164" s="25"/>
      <c r="P164" s="25"/>
      <c r="Q164" s="25"/>
      <c r="R164" s="25"/>
      <c r="S164" s="25"/>
      <c r="T164" s="53">
        <v>0</v>
      </c>
      <c r="U164" s="25"/>
      <c r="V164" s="5"/>
    </row>
    <row r="165" spans="1:22" x14ac:dyDescent="0.35">
      <c r="A165" s="24"/>
      <c r="B165" s="25" t="s">
        <v>55</v>
      </c>
      <c r="C165" s="25"/>
      <c r="D165" s="25"/>
      <c r="E165" s="25"/>
      <c r="F165" s="25"/>
      <c r="G165" s="25"/>
      <c r="H165" s="25"/>
      <c r="I165" s="25"/>
      <c r="J165" s="25"/>
      <c r="K165" s="25"/>
      <c r="L165" s="25"/>
      <c r="M165" s="25"/>
      <c r="N165" s="25"/>
      <c r="O165" s="25"/>
      <c r="P165" s="25"/>
      <c r="Q165" s="25"/>
      <c r="R165" s="25"/>
      <c r="S165" s="25"/>
      <c r="T165" s="53">
        <v>87</v>
      </c>
      <c r="U165" s="25"/>
      <c r="V165" s="5"/>
    </row>
    <row r="166" spans="1:22" x14ac:dyDescent="0.35">
      <c r="A166" s="24"/>
      <c r="B166" s="25" t="s">
        <v>56</v>
      </c>
      <c r="C166" s="25"/>
      <c r="D166" s="25"/>
      <c r="E166" s="25"/>
      <c r="F166" s="25"/>
      <c r="G166" s="25"/>
      <c r="H166" s="25"/>
      <c r="I166" s="25"/>
      <c r="J166" s="25"/>
      <c r="K166" s="25"/>
      <c r="L166" s="25"/>
      <c r="M166" s="25"/>
      <c r="N166" s="25"/>
      <c r="O166" s="25"/>
      <c r="P166" s="25"/>
      <c r="Q166" s="25"/>
      <c r="R166" s="25"/>
      <c r="S166" s="25"/>
      <c r="T166" s="53">
        <f>T165+T164</f>
        <v>87</v>
      </c>
      <c r="U166" s="25"/>
      <c r="V166" s="5"/>
    </row>
    <row r="167" spans="1:22" x14ac:dyDescent="0.35">
      <c r="A167" s="24"/>
      <c r="B167" s="25" t="s">
        <v>315</v>
      </c>
      <c r="C167" s="25"/>
      <c r="D167" s="25"/>
      <c r="E167" s="25"/>
      <c r="F167" s="25"/>
      <c r="G167" s="25"/>
      <c r="H167" s="25"/>
      <c r="I167" s="25"/>
      <c r="J167" s="25"/>
      <c r="K167" s="25"/>
      <c r="L167" s="25"/>
      <c r="M167" s="25"/>
      <c r="N167" s="25"/>
      <c r="O167" s="25"/>
      <c r="P167" s="25"/>
      <c r="Q167" s="25"/>
      <c r="R167" s="25"/>
      <c r="S167" s="25"/>
      <c r="T167" s="53">
        <f>T114</f>
        <v>-87</v>
      </c>
      <c r="U167" s="25"/>
      <c r="V167" s="5"/>
    </row>
    <row r="168" spans="1:22" x14ac:dyDescent="0.35">
      <c r="A168" s="24"/>
      <c r="B168" s="25" t="s">
        <v>57</v>
      </c>
      <c r="C168" s="25"/>
      <c r="D168" s="25"/>
      <c r="E168" s="25"/>
      <c r="F168" s="25"/>
      <c r="G168" s="25"/>
      <c r="H168" s="25"/>
      <c r="I168" s="25"/>
      <c r="J168" s="25"/>
      <c r="K168" s="25"/>
      <c r="L168" s="25"/>
      <c r="M168" s="25"/>
      <c r="N168" s="25"/>
      <c r="O168" s="25"/>
      <c r="P168" s="25"/>
      <c r="Q168" s="25"/>
      <c r="R168" s="25"/>
      <c r="S168" s="25"/>
      <c r="T168" s="53">
        <f>T166+T167</f>
        <v>0</v>
      </c>
      <c r="U168" s="25"/>
      <c r="V168" s="5"/>
    </row>
    <row r="169" spans="1:22" ht="16" thickBot="1" x14ac:dyDescent="0.4">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x14ac:dyDescent="0.35">
      <c r="A170" s="2"/>
      <c r="B170" s="4"/>
      <c r="C170" s="4"/>
      <c r="D170" s="4"/>
      <c r="E170" s="4"/>
      <c r="F170" s="4"/>
      <c r="G170" s="4"/>
      <c r="H170" s="4"/>
      <c r="I170" s="4"/>
      <c r="J170" s="4"/>
      <c r="K170" s="4"/>
      <c r="L170" s="4"/>
      <c r="M170" s="4"/>
      <c r="N170" s="4"/>
      <c r="O170" s="4"/>
      <c r="P170" s="4"/>
      <c r="Q170" s="4"/>
      <c r="R170" s="4"/>
      <c r="S170" s="4"/>
      <c r="T170" s="50"/>
      <c r="U170" s="4"/>
      <c r="V170" s="5"/>
    </row>
    <row r="171" spans="1:22" x14ac:dyDescent="0.35">
      <c r="A171" s="6"/>
      <c r="B171" s="119" t="s">
        <v>58</v>
      </c>
      <c r="C171" s="8"/>
      <c r="D171" s="8"/>
      <c r="E171" s="8"/>
      <c r="F171" s="8"/>
      <c r="G171" s="8"/>
      <c r="H171" s="8"/>
      <c r="I171" s="8"/>
      <c r="J171" s="8"/>
      <c r="K171" s="8"/>
      <c r="L171" s="8"/>
      <c r="M171" s="8"/>
      <c r="N171" s="8"/>
      <c r="O171" s="8"/>
      <c r="P171" s="8"/>
      <c r="Q171" s="8"/>
      <c r="R171" s="8"/>
      <c r="S171" s="8"/>
      <c r="T171" s="52"/>
      <c r="U171" s="8"/>
      <c r="V171" s="5"/>
    </row>
    <row r="172" spans="1:22" x14ac:dyDescent="0.35">
      <c r="A172" s="6"/>
      <c r="B172" s="21"/>
      <c r="C172" s="8"/>
      <c r="D172" s="8"/>
      <c r="E172" s="8"/>
      <c r="F172" s="8"/>
      <c r="G172" s="8"/>
      <c r="H172" s="8"/>
      <c r="I172" s="8"/>
      <c r="J172" s="8"/>
      <c r="K172" s="8"/>
      <c r="L172" s="8"/>
      <c r="M172" s="8"/>
      <c r="N172" s="8"/>
      <c r="O172" s="8"/>
      <c r="P172" s="8"/>
      <c r="Q172" s="8"/>
      <c r="R172" s="8"/>
      <c r="S172" s="8"/>
      <c r="T172" s="52"/>
      <c r="U172" s="8"/>
      <c r="V172" s="5"/>
    </row>
    <row r="173" spans="1:22" x14ac:dyDescent="0.35">
      <c r="A173" s="24"/>
      <c r="B173" s="25" t="s">
        <v>59</v>
      </c>
      <c r="C173" s="25"/>
      <c r="D173" s="25"/>
      <c r="E173" s="25"/>
      <c r="F173" s="25"/>
      <c r="G173" s="25"/>
      <c r="H173" s="25"/>
      <c r="I173" s="25"/>
      <c r="J173" s="25"/>
      <c r="K173" s="25"/>
      <c r="L173" s="25"/>
      <c r="M173" s="25"/>
      <c r="N173" s="25"/>
      <c r="O173" s="25"/>
      <c r="P173" s="25"/>
      <c r="Q173" s="25"/>
      <c r="R173" s="25"/>
      <c r="S173" s="25"/>
      <c r="T173" s="53">
        <f>T72</f>
        <v>886406</v>
      </c>
      <c r="U173" s="25"/>
      <c r="V173" s="5"/>
    </row>
    <row r="174" spans="1:22" x14ac:dyDescent="0.35">
      <c r="A174" s="24"/>
      <c r="B174" s="25" t="s">
        <v>60</v>
      </c>
      <c r="C174" s="25"/>
      <c r="D174" s="25"/>
      <c r="E174" s="25"/>
      <c r="F174" s="25"/>
      <c r="G174" s="25"/>
      <c r="H174" s="25"/>
      <c r="I174" s="25"/>
      <c r="J174" s="25"/>
      <c r="K174" s="25"/>
      <c r="L174" s="25"/>
      <c r="M174" s="25"/>
      <c r="N174" s="25"/>
      <c r="O174" s="25"/>
      <c r="P174" s="25"/>
      <c r="Q174" s="25"/>
      <c r="R174" s="25"/>
      <c r="S174" s="25"/>
      <c r="T174" s="53">
        <f>T85</f>
        <v>886406</v>
      </c>
      <c r="U174" s="25"/>
      <c r="V174" s="5"/>
    </row>
    <row r="175" spans="1:22" ht="16" thickBot="1" x14ac:dyDescent="0.4">
      <c r="A175" s="24"/>
      <c r="B175" s="25"/>
      <c r="C175" s="25"/>
      <c r="D175" s="25"/>
      <c r="E175" s="25"/>
      <c r="F175" s="25"/>
      <c r="G175" s="25"/>
      <c r="H175" s="25"/>
      <c r="I175" s="25"/>
      <c r="J175" s="25"/>
      <c r="K175" s="25"/>
      <c r="L175" s="25"/>
      <c r="M175" s="25"/>
      <c r="N175" s="25"/>
      <c r="O175" s="25"/>
      <c r="P175" s="25"/>
      <c r="Q175" s="25"/>
      <c r="R175" s="25"/>
      <c r="S175" s="25"/>
      <c r="T175" s="61"/>
      <c r="U175" s="25"/>
      <c r="V175" s="5"/>
    </row>
    <row r="176" spans="1:22" x14ac:dyDescent="0.35">
      <c r="A176" s="2"/>
      <c r="B176" s="4"/>
      <c r="C176" s="4"/>
      <c r="D176" s="4"/>
      <c r="E176" s="4"/>
      <c r="F176" s="4"/>
      <c r="G176" s="4"/>
      <c r="H176" s="4"/>
      <c r="I176" s="4"/>
      <c r="J176" s="4"/>
      <c r="K176" s="4"/>
      <c r="L176" s="4"/>
      <c r="M176" s="4"/>
      <c r="N176" s="4"/>
      <c r="O176" s="4"/>
      <c r="P176" s="4"/>
      <c r="Q176" s="4"/>
      <c r="R176" s="4"/>
      <c r="S176" s="4"/>
      <c r="T176" s="50"/>
      <c r="U176" s="4"/>
      <c r="V176" s="5"/>
    </row>
    <row r="177" spans="1:22" x14ac:dyDescent="0.35">
      <c r="A177" s="6"/>
      <c r="B177" s="119" t="s">
        <v>61</v>
      </c>
      <c r="C177" s="117"/>
      <c r="D177" s="117"/>
      <c r="E177" s="117"/>
      <c r="F177" s="117"/>
      <c r="G177" s="117"/>
      <c r="H177" s="120"/>
      <c r="I177" s="120"/>
      <c r="J177" s="120"/>
      <c r="K177" s="120"/>
      <c r="L177" s="120"/>
      <c r="M177" s="120"/>
      <c r="N177" s="120"/>
      <c r="O177" s="120"/>
      <c r="P177" s="120"/>
      <c r="Q177" s="120" t="s">
        <v>105</v>
      </c>
      <c r="R177" s="120" t="s">
        <v>187</v>
      </c>
      <c r="S177" s="111"/>
      <c r="T177" s="121" t="s">
        <v>121</v>
      </c>
      <c r="U177" s="10"/>
      <c r="V177" s="5"/>
    </row>
    <row r="178" spans="1:22" x14ac:dyDescent="0.35">
      <c r="A178" s="24"/>
      <c r="B178" s="25" t="s">
        <v>62</v>
      </c>
      <c r="C178" s="25"/>
      <c r="D178" s="25"/>
      <c r="E178" s="25"/>
      <c r="F178" s="25"/>
      <c r="G178" s="25"/>
      <c r="H178" s="25"/>
      <c r="I178" s="25"/>
      <c r="J178" s="25"/>
      <c r="K178" s="25"/>
      <c r="L178" s="25"/>
      <c r="M178" s="25"/>
      <c r="N178" s="25"/>
      <c r="O178" s="25"/>
      <c r="P178" s="25"/>
      <c r="Q178" s="53">
        <f>+T34*0.16</f>
        <v>160056.48000000001</v>
      </c>
      <c r="R178" s="40"/>
      <c r="S178" s="25"/>
      <c r="T178" s="53"/>
      <c r="U178" s="25"/>
      <c r="V178" s="5"/>
    </row>
    <row r="179" spans="1:22" x14ac:dyDescent="0.35">
      <c r="A179" s="24"/>
      <c r="B179" s="25" t="s">
        <v>63</v>
      </c>
      <c r="C179" s="25"/>
      <c r="D179" s="25"/>
      <c r="E179" s="25"/>
      <c r="F179" s="25"/>
      <c r="G179" s="25"/>
      <c r="H179" s="25"/>
      <c r="I179" s="25"/>
      <c r="J179" s="25"/>
      <c r="K179" s="25"/>
      <c r="L179" s="25"/>
      <c r="M179" s="25"/>
      <c r="N179" s="25"/>
      <c r="O179" s="25"/>
      <c r="P179" s="25"/>
      <c r="Q179" s="53">
        <f>'Feb 07'!Q181</f>
        <v>21549</v>
      </c>
      <c r="R179" s="53">
        <f>'Feb 07'!R181</f>
        <v>5220</v>
      </c>
      <c r="S179" s="25"/>
      <c r="T179" s="53">
        <f>Q179+R179</f>
        <v>26769</v>
      </c>
      <c r="U179" s="25"/>
      <c r="V179" s="5"/>
    </row>
    <row r="180" spans="1:22" x14ac:dyDescent="0.35">
      <c r="A180" s="24"/>
      <c r="B180" s="25" t="s">
        <v>64</v>
      </c>
      <c r="C180" s="25"/>
      <c r="D180" s="25"/>
      <c r="E180" s="25"/>
      <c r="F180" s="25"/>
      <c r="G180" s="25"/>
      <c r="H180" s="25"/>
      <c r="I180" s="25"/>
      <c r="J180" s="25"/>
      <c r="K180" s="25"/>
      <c r="L180" s="25"/>
      <c r="M180" s="25"/>
      <c r="N180" s="25"/>
      <c r="O180" s="25"/>
      <c r="P180" s="25"/>
      <c r="Q180" s="34">
        <v>3500</v>
      </c>
      <c r="R180" s="34">
        <v>340</v>
      </c>
      <c r="S180" s="25"/>
      <c r="T180" s="53">
        <f>Q180+R180</f>
        <v>3840</v>
      </c>
      <c r="U180" s="25"/>
      <c r="V180" s="5"/>
    </row>
    <row r="181" spans="1:22" x14ac:dyDescent="0.35">
      <c r="A181" s="24"/>
      <c r="B181" s="25" t="s">
        <v>65</v>
      </c>
      <c r="C181" s="25"/>
      <c r="D181" s="25"/>
      <c r="E181" s="25"/>
      <c r="F181" s="25"/>
      <c r="G181" s="25"/>
      <c r="H181" s="25"/>
      <c r="I181" s="25"/>
      <c r="J181" s="25"/>
      <c r="K181" s="25"/>
      <c r="L181" s="25"/>
      <c r="M181" s="25"/>
      <c r="N181" s="25"/>
      <c r="O181" s="25"/>
      <c r="P181" s="25"/>
      <c r="Q181" s="53">
        <f>Q179+Q180</f>
        <v>25049</v>
      </c>
      <c r="R181" s="53">
        <f>R180+R179</f>
        <v>5560</v>
      </c>
      <c r="S181" s="25"/>
      <c r="T181" s="53">
        <f>Q181+R181</f>
        <v>30609</v>
      </c>
      <c r="U181" s="25"/>
      <c r="V181" s="5"/>
    </row>
    <row r="182" spans="1:22" x14ac:dyDescent="0.35">
      <c r="A182" s="24"/>
      <c r="B182" s="25" t="s">
        <v>66</v>
      </c>
      <c r="C182" s="25"/>
      <c r="D182" s="25"/>
      <c r="E182" s="25"/>
      <c r="F182" s="25"/>
      <c r="G182" s="25"/>
      <c r="H182" s="25"/>
      <c r="I182" s="25"/>
      <c r="J182" s="25"/>
      <c r="K182" s="25"/>
      <c r="L182" s="25"/>
      <c r="M182" s="25"/>
      <c r="N182" s="25"/>
      <c r="O182" s="25"/>
      <c r="P182" s="25"/>
      <c r="Q182" s="53">
        <f>Q178-Q181-R181</f>
        <v>129447.48000000001</v>
      </c>
      <c r="R182" s="40"/>
      <c r="S182" s="25"/>
      <c r="T182" s="53"/>
      <c r="U182" s="25"/>
      <c r="V182" s="5"/>
    </row>
    <row r="183" spans="1:22" ht="16" thickBot="1" x14ac:dyDescent="0.4">
      <c r="A183" s="24"/>
      <c r="B183" s="25"/>
      <c r="C183" s="25"/>
      <c r="D183" s="25"/>
      <c r="E183" s="25"/>
      <c r="F183" s="25"/>
      <c r="G183" s="25"/>
      <c r="H183" s="25"/>
      <c r="I183" s="25"/>
      <c r="J183" s="25"/>
      <c r="K183" s="25"/>
      <c r="L183" s="25"/>
      <c r="M183" s="25"/>
      <c r="N183" s="25"/>
      <c r="O183" s="25"/>
      <c r="P183" s="25"/>
      <c r="Q183" s="25"/>
      <c r="R183" s="25"/>
      <c r="S183" s="25"/>
      <c r="T183" s="61"/>
      <c r="U183" s="25"/>
      <c r="V183" s="5"/>
    </row>
    <row r="184" spans="1:22" x14ac:dyDescent="0.35">
      <c r="A184" s="2"/>
      <c r="B184" s="4"/>
      <c r="C184" s="4"/>
      <c r="D184" s="4"/>
      <c r="E184" s="4"/>
      <c r="F184" s="4"/>
      <c r="G184" s="4"/>
      <c r="H184" s="4"/>
      <c r="I184" s="4"/>
      <c r="J184" s="4"/>
      <c r="K184" s="4"/>
      <c r="L184" s="4"/>
      <c r="M184" s="4"/>
      <c r="N184" s="4"/>
      <c r="O184" s="4"/>
      <c r="P184" s="4"/>
      <c r="Q184" s="4"/>
      <c r="R184" s="4"/>
      <c r="S184" s="4"/>
      <c r="T184" s="50"/>
      <c r="U184" s="4"/>
      <c r="V184" s="5"/>
    </row>
    <row r="185" spans="1:22" x14ac:dyDescent="0.35">
      <c r="A185" s="6"/>
      <c r="B185" s="119" t="s">
        <v>67</v>
      </c>
      <c r="C185" s="8"/>
      <c r="D185" s="8"/>
      <c r="E185" s="8"/>
      <c r="F185" s="8"/>
      <c r="G185" s="8"/>
      <c r="H185" s="8"/>
      <c r="I185" s="8"/>
      <c r="J185" s="8"/>
      <c r="K185" s="8"/>
      <c r="L185" s="8"/>
      <c r="M185" s="8"/>
      <c r="N185" s="8"/>
      <c r="O185" s="8"/>
      <c r="P185" s="8"/>
      <c r="Q185" s="8"/>
      <c r="R185" s="8"/>
      <c r="S185" s="8"/>
      <c r="T185" s="65"/>
      <c r="U185" s="8"/>
      <c r="V185" s="5"/>
    </row>
    <row r="186" spans="1:22" x14ac:dyDescent="0.35">
      <c r="A186" s="24"/>
      <c r="B186" s="25" t="s">
        <v>68</v>
      </c>
      <c r="C186" s="25"/>
      <c r="D186" s="25"/>
      <c r="E186" s="25"/>
      <c r="F186" s="25"/>
      <c r="G186" s="25"/>
      <c r="H186" s="25"/>
      <c r="I186" s="25"/>
      <c r="J186" s="25"/>
      <c r="K186" s="25"/>
      <c r="L186" s="25"/>
      <c r="M186" s="25"/>
      <c r="N186" s="25"/>
      <c r="O186" s="25"/>
      <c r="P186" s="25"/>
      <c r="Q186" s="25"/>
      <c r="R186" s="25"/>
      <c r="S186" s="25"/>
      <c r="T186" s="59">
        <f>(T100+T102+T103+T104+T105+T106)/-(T107+T108)</f>
        <v>1.4283081783081784</v>
      </c>
      <c r="U186" s="25" t="s">
        <v>122</v>
      </c>
      <c r="V186" s="5"/>
    </row>
    <row r="187" spans="1:22" x14ac:dyDescent="0.35">
      <c r="A187" s="24"/>
      <c r="B187" s="25" t="s">
        <v>69</v>
      </c>
      <c r="C187" s="25"/>
      <c r="D187" s="25"/>
      <c r="E187" s="25"/>
      <c r="F187" s="25"/>
      <c r="G187" s="25"/>
      <c r="H187" s="25"/>
      <c r="I187" s="25"/>
      <c r="J187" s="25"/>
      <c r="K187" s="25"/>
      <c r="L187" s="25"/>
      <c r="M187" s="25"/>
      <c r="N187" s="25"/>
      <c r="O187" s="25"/>
      <c r="P187" s="25"/>
      <c r="Q187" s="25"/>
      <c r="R187" s="25"/>
      <c r="S187" s="25"/>
      <c r="T187" s="66">
        <v>1.41</v>
      </c>
      <c r="U187" s="25" t="s">
        <v>122</v>
      </c>
      <c r="V187" s="5"/>
    </row>
    <row r="188" spans="1:22" x14ac:dyDescent="0.35">
      <c r="A188" s="24"/>
      <c r="B188" s="25" t="s">
        <v>70</v>
      </c>
      <c r="C188" s="25"/>
      <c r="D188" s="25"/>
      <c r="E188" s="25"/>
      <c r="F188" s="25"/>
      <c r="G188" s="25"/>
      <c r="H188" s="25"/>
      <c r="I188" s="25"/>
      <c r="J188" s="25"/>
      <c r="K188" s="25"/>
      <c r="L188" s="25"/>
      <c r="M188" s="25"/>
      <c r="N188" s="25"/>
      <c r="O188" s="25"/>
      <c r="P188" s="25"/>
      <c r="Q188" s="25"/>
      <c r="R188" s="25"/>
      <c r="S188" s="25"/>
      <c r="T188" s="59">
        <f>(T100+T102+T103+T104+T105+T106+T107+T108)/-(T109+T110)</f>
        <v>7.5440494590417311</v>
      </c>
      <c r="U188" s="25" t="s">
        <v>122</v>
      </c>
      <c r="V188" s="5"/>
    </row>
    <row r="189" spans="1:22" x14ac:dyDescent="0.35">
      <c r="A189" s="24"/>
      <c r="B189" s="25" t="s">
        <v>71</v>
      </c>
      <c r="C189" s="25"/>
      <c r="D189" s="25"/>
      <c r="E189" s="25"/>
      <c r="F189" s="25"/>
      <c r="G189" s="25"/>
      <c r="H189" s="25"/>
      <c r="I189" s="25"/>
      <c r="J189" s="25"/>
      <c r="K189" s="25"/>
      <c r="L189" s="25"/>
      <c r="M189" s="25"/>
      <c r="N189" s="25"/>
      <c r="O189" s="25"/>
      <c r="P189" s="25"/>
      <c r="Q189" s="25"/>
      <c r="R189" s="25"/>
      <c r="S189" s="25"/>
      <c r="T189" s="66">
        <v>7.66</v>
      </c>
      <c r="U189" s="25" t="s">
        <v>122</v>
      </c>
      <c r="V189" s="5"/>
    </row>
    <row r="190" spans="1:22" x14ac:dyDescent="0.35">
      <c r="A190" s="24"/>
      <c r="B190" s="25" t="s">
        <v>232</v>
      </c>
      <c r="C190" s="25"/>
      <c r="D190" s="25"/>
      <c r="E190" s="25"/>
      <c r="F190" s="25"/>
      <c r="G190" s="25"/>
      <c r="H190" s="25"/>
      <c r="I190" s="25"/>
      <c r="J190" s="25"/>
      <c r="K190" s="25"/>
      <c r="L190" s="25"/>
      <c r="M190" s="25"/>
      <c r="N190" s="25"/>
      <c r="O190" s="25"/>
      <c r="P190" s="25"/>
      <c r="Q190" s="25"/>
      <c r="R190" s="25"/>
      <c r="S190" s="25"/>
      <c r="T190" s="59">
        <f>(T100+T102+T103+T104+T105+T106+T107+T108+T109+T110)/-(T111+T112)</f>
        <v>3.9312906220984214</v>
      </c>
      <c r="U190" s="25" t="s">
        <v>122</v>
      </c>
      <c r="V190" s="5"/>
    </row>
    <row r="191" spans="1:22" x14ac:dyDescent="0.35">
      <c r="A191" s="24"/>
      <c r="B191" s="25" t="s">
        <v>233</v>
      </c>
      <c r="C191" s="25"/>
      <c r="D191" s="25"/>
      <c r="E191" s="25"/>
      <c r="F191" s="25"/>
      <c r="G191" s="25"/>
      <c r="H191" s="25"/>
      <c r="I191" s="25"/>
      <c r="J191" s="25"/>
      <c r="K191" s="25"/>
      <c r="L191" s="25"/>
      <c r="M191" s="25"/>
      <c r="N191" s="25"/>
      <c r="O191" s="25"/>
      <c r="P191" s="25"/>
      <c r="Q191" s="25"/>
      <c r="R191" s="25"/>
      <c r="S191" s="25"/>
      <c r="T191" s="66">
        <v>3.98</v>
      </c>
      <c r="U191" s="25" t="s">
        <v>122</v>
      </c>
      <c r="V191" s="5"/>
    </row>
    <row r="192" spans="1:22"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6"/>
      <c r="B194" s="8"/>
      <c r="C194" s="8"/>
      <c r="D194" s="8"/>
      <c r="E194" s="8"/>
      <c r="F194" s="8"/>
      <c r="G194" s="8"/>
      <c r="H194" s="8"/>
      <c r="I194" s="8"/>
      <c r="J194" s="8"/>
      <c r="K194" s="8"/>
      <c r="L194" s="8"/>
      <c r="M194" s="8"/>
      <c r="N194" s="8"/>
      <c r="O194" s="8"/>
      <c r="P194" s="8"/>
      <c r="Q194" s="8"/>
      <c r="R194" s="8"/>
      <c r="S194" s="8"/>
      <c r="T194" s="8"/>
      <c r="U194" s="8"/>
      <c r="V194" s="5"/>
    </row>
    <row r="195" spans="1:22" ht="18" thickBot="1" x14ac:dyDescent="0.4">
      <c r="A195" s="101"/>
      <c r="B195" s="102" t="str">
        <f>B135</f>
        <v>PM10 INVESTOR REPORT QUARTER ENDING MAY 2007</v>
      </c>
      <c r="C195" s="166"/>
      <c r="D195" s="166"/>
      <c r="E195" s="166"/>
      <c r="F195" s="166"/>
      <c r="G195" s="166"/>
      <c r="H195" s="166"/>
      <c r="I195" s="166"/>
      <c r="J195" s="166"/>
      <c r="K195" s="166"/>
      <c r="L195" s="166"/>
      <c r="M195" s="166"/>
      <c r="N195" s="166"/>
      <c r="O195" s="166"/>
      <c r="P195" s="166"/>
      <c r="Q195" s="166"/>
      <c r="R195" s="166"/>
      <c r="S195" s="166"/>
      <c r="T195" s="166"/>
      <c r="U195" s="167"/>
      <c r="V195" s="5"/>
    </row>
    <row r="196" spans="1:22" x14ac:dyDescent="0.35">
      <c r="A196" s="67"/>
      <c r="B196" s="60" t="s">
        <v>72</v>
      </c>
      <c r="C196" s="68"/>
      <c r="D196" s="68"/>
      <c r="E196" s="68"/>
      <c r="F196" s="68"/>
      <c r="G196" s="69"/>
      <c r="H196" s="69"/>
      <c r="I196" s="69"/>
      <c r="J196" s="69"/>
      <c r="K196" s="69"/>
      <c r="L196" s="69"/>
      <c r="M196" s="69"/>
      <c r="N196" s="69"/>
      <c r="O196" s="69"/>
      <c r="P196" s="69"/>
      <c r="Q196" s="69"/>
      <c r="R196" s="70">
        <v>39233</v>
      </c>
      <c r="S196" s="4"/>
      <c r="T196" s="4"/>
      <c r="U196" s="4"/>
      <c r="V196" s="5"/>
    </row>
    <row r="197" spans="1:22" x14ac:dyDescent="0.35">
      <c r="A197" s="71"/>
      <c r="B197" s="72"/>
      <c r="C197" s="73"/>
      <c r="D197" s="73"/>
      <c r="E197" s="73"/>
      <c r="F197" s="73"/>
      <c r="G197" s="74"/>
      <c r="H197" s="74"/>
      <c r="I197" s="74"/>
      <c r="J197" s="74"/>
      <c r="K197" s="74"/>
      <c r="L197" s="74"/>
      <c r="M197" s="74"/>
      <c r="N197" s="74"/>
      <c r="O197" s="74"/>
      <c r="P197" s="74"/>
      <c r="Q197" s="74"/>
      <c r="R197" s="74"/>
      <c r="S197" s="8"/>
      <c r="T197" s="8"/>
      <c r="U197" s="8"/>
      <c r="V197" s="5"/>
    </row>
    <row r="198" spans="1:22" x14ac:dyDescent="0.35">
      <c r="A198" s="75"/>
      <c r="B198" s="76" t="s">
        <v>73</v>
      </c>
      <c r="C198" s="77"/>
      <c r="D198" s="77"/>
      <c r="E198" s="77"/>
      <c r="F198" s="77"/>
      <c r="G198" s="64"/>
      <c r="H198" s="64"/>
      <c r="I198" s="64"/>
      <c r="J198" s="64"/>
      <c r="K198" s="64"/>
      <c r="L198" s="64"/>
      <c r="M198" s="64"/>
      <c r="N198" s="64"/>
      <c r="O198" s="64"/>
      <c r="P198" s="64"/>
      <c r="Q198" s="64"/>
      <c r="R198" s="78">
        <v>5.3960000000000001E-2</v>
      </c>
      <c r="S198" s="25"/>
      <c r="T198" s="25"/>
      <c r="U198" s="25"/>
      <c r="V198" s="5"/>
    </row>
    <row r="199" spans="1:22" x14ac:dyDescent="0.35">
      <c r="A199" s="75"/>
      <c r="B199" s="76" t="s">
        <v>159</v>
      </c>
      <c r="C199" s="77"/>
      <c r="D199" s="77"/>
      <c r="E199" s="77"/>
      <c r="F199" s="77"/>
      <c r="G199" s="64"/>
      <c r="H199" s="64"/>
      <c r="I199" s="64"/>
      <c r="J199" s="64"/>
      <c r="K199" s="64"/>
      <c r="L199" s="64"/>
      <c r="M199" s="64"/>
      <c r="N199" s="64"/>
      <c r="O199" s="64"/>
      <c r="P199" s="64"/>
      <c r="Q199" s="64"/>
      <c r="R199" s="39">
        <v>4.7399999999999998E-2</v>
      </c>
      <c r="S199" s="25"/>
      <c r="T199" s="25"/>
      <c r="U199" s="25"/>
      <c r="V199" s="5"/>
    </row>
    <row r="200" spans="1:22" x14ac:dyDescent="0.35">
      <c r="A200" s="75"/>
      <c r="B200" s="76" t="s">
        <v>74</v>
      </c>
      <c r="C200" s="77"/>
      <c r="D200" s="77"/>
      <c r="E200" s="77"/>
      <c r="F200" s="77"/>
      <c r="G200" s="64"/>
      <c r="H200" s="64"/>
      <c r="I200" s="64"/>
      <c r="J200" s="64"/>
      <c r="K200" s="64"/>
      <c r="L200" s="64"/>
      <c r="M200" s="64"/>
      <c r="N200" s="64"/>
      <c r="O200" s="64"/>
      <c r="P200" s="64"/>
      <c r="Q200" s="64"/>
      <c r="R200" s="78">
        <f>R198-R199</f>
        <v>6.5600000000000033E-3</v>
      </c>
      <c r="S200" s="25"/>
      <c r="T200" s="25"/>
      <c r="U200" s="25"/>
      <c r="V200" s="5"/>
    </row>
    <row r="201" spans="1:22" x14ac:dyDescent="0.35">
      <c r="A201" s="75"/>
      <c r="B201" s="76" t="s">
        <v>75</v>
      </c>
      <c r="C201" s="77"/>
      <c r="D201" s="77"/>
      <c r="E201" s="77"/>
      <c r="F201" s="77"/>
      <c r="G201" s="64"/>
      <c r="H201" s="64"/>
      <c r="I201" s="64"/>
      <c r="J201" s="64"/>
      <c r="K201" s="64"/>
      <c r="L201" s="64"/>
      <c r="M201" s="64"/>
      <c r="N201" s="64"/>
      <c r="O201" s="64"/>
      <c r="P201" s="64"/>
      <c r="Q201" s="64"/>
      <c r="R201" s="78">
        <v>5.8479999999999997E-2</v>
      </c>
      <c r="S201" s="25"/>
      <c r="T201" s="25"/>
      <c r="U201" s="25"/>
      <c r="V201" s="5"/>
    </row>
    <row r="202" spans="1:22" x14ac:dyDescent="0.35">
      <c r="A202" s="75"/>
      <c r="B202" s="76" t="s">
        <v>262</v>
      </c>
      <c r="C202" s="77"/>
      <c r="D202" s="77"/>
      <c r="E202" s="77"/>
      <c r="F202" s="77"/>
      <c r="G202" s="64"/>
      <c r="H202" s="64"/>
      <c r="I202" s="64"/>
      <c r="J202" s="64"/>
      <c r="K202" s="64"/>
      <c r="L202" s="64"/>
      <c r="M202" s="64"/>
      <c r="N202" s="64"/>
      <c r="O202" s="64"/>
      <c r="P202" s="64"/>
      <c r="Q202" s="64"/>
      <c r="R202" s="78">
        <f>T43</f>
        <v>5.6353895429593771E-2</v>
      </c>
      <c r="S202" s="25"/>
      <c r="T202" s="25"/>
      <c r="U202" s="25"/>
      <c r="V202" s="5"/>
    </row>
    <row r="203" spans="1:22" x14ac:dyDescent="0.35">
      <c r="A203" s="75"/>
      <c r="B203" s="76" t="s">
        <v>76</v>
      </c>
      <c r="C203" s="77"/>
      <c r="D203" s="77"/>
      <c r="E203" s="77"/>
      <c r="F203" s="77"/>
      <c r="G203" s="64"/>
      <c r="H203" s="64"/>
      <c r="I203" s="64"/>
      <c r="J203" s="64"/>
      <c r="K203" s="64"/>
      <c r="L203" s="64"/>
      <c r="M203" s="64"/>
      <c r="N203" s="64"/>
      <c r="O203" s="64"/>
      <c r="P203" s="64"/>
      <c r="Q203" s="64"/>
      <c r="R203" s="78">
        <f>R201-R202</f>
        <v>2.1261045704062259E-3</v>
      </c>
      <c r="S203" s="25"/>
      <c r="T203" s="25"/>
      <c r="U203" s="25"/>
      <c r="V203" s="5"/>
    </row>
    <row r="204" spans="1:22" x14ac:dyDescent="0.35">
      <c r="A204" s="75"/>
      <c r="B204" s="76" t="s">
        <v>269</v>
      </c>
      <c r="C204" s="77"/>
      <c r="D204" s="77"/>
      <c r="E204" s="77"/>
      <c r="F204" s="77"/>
      <c r="G204" s="64"/>
      <c r="H204" s="64"/>
      <c r="I204" s="64"/>
      <c r="J204" s="64"/>
      <c r="K204" s="64"/>
      <c r="L204" s="64"/>
      <c r="M204" s="64"/>
      <c r="N204" s="64"/>
      <c r="O204" s="64"/>
      <c r="P204" s="64"/>
      <c r="Q204" s="64"/>
      <c r="R204" s="78">
        <f>+T100/L69</f>
        <v>1.8024894253015428E-2</v>
      </c>
      <c r="S204" s="25"/>
      <c r="T204" s="25"/>
      <c r="U204" s="25"/>
      <c r="V204" s="5"/>
    </row>
    <row r="205" spans="1:22" x14ac:dyDescent="0.35">
      <c r="A205" s="75"/>
      <c r="B205" s="76" t="s">
        <v>251</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252</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253</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77</v>
      </c>
      <c r="C208" s="77"/>
      <c r="D208" s="77"/>
      <c r="E208" s="77"/>
      <c r="F208" s="77"/>
      <c r="G208" s="64"/>
      <c r="H208" s="64"/>
      <c r="I208" s="64"/>
      <c r="J208" s="64"/>
      <c r="K208" s="64"/>
      <c r="L208" s="64"/>
      <c r="M208" s="64"/>
      <c r="N208" s="64"/>
      <c r="O208" s="64"/>
      <c r="P208" s="64"/>
      <c r="Q208" s="64"/>
      <c r="R208" s="134">
        <v>21.48</v>
      </c>
      <c r="S208" s="25" t="s">
        <v>117</v>
      </c>
      <c r="T208" s="25"/>
      <c r="U208" s="25"/>
      <c r="V208" s="5"/>
    </row>
    <row r="209" spans="1:22" x14ac:dyDescent="0.35">
      <c r="A209" s="75"/>
      <c r="B209" s="76" t="s">
        <v>78</v>
      </c>
      <c r="C209" s="77"/>
      <c r="D209" s="77"/>
      <c r="E209" s="77"/>
      <c r="F209" s="77"/>
      <c r="G209" s="64"/>
      <c r="H209" s="64"/>
      <c r="I209" s="64"/>
      <c r="J209" s="64"/>
      <c r="K209" s="64"/>
      <c r="L209" s="64"/>
      <c r="M209" s="64"/>
      <c r="N209" s="64"/>
      <c r="O209" s="64"/>
      <c r="P209" s="64"/>
      <c r="Q209" s="64"/>
      <c r="R209" s="134">
        <v>20.11</v>
      </c>
      <c r="S209" s="25" t="s">
        <v>117</v>
      </c>
      <c r="T209" s="25"/>
      <c r="U209" s="25"/>
      <c r="V209" s="5"/>
    </row>
    <row r="210" spans="1:22" x14ac:dyDescent="0.35">
      <c r="A210" s="75"/>
      <c r="B210" s="76" t="s">
        <v>79</v>
      </c>
      <c r="C210" s="77"/>
      <c r="D210" s="77"/>
      <c r="E210" s="77"/>
      <c r="F210" s="77"/>
      <c r="G210" s="64"/>
      <c r="H210" s="64"/>
      <c r="I210" s="64"/>
      <c r="J210" s="64"/>
      <c r="K210" s="64"/>
      <c r="L210" s="64"/>
      <c r="M210" s="64"/>
      <c r="N210" s="64"/>
      <c r="O210" s="64"/>
      <c r="P210" s="64"/>
      <c r="Q210" s="64"/>
      <c r="R210" s="78">
        <f>+N69/L69</f>
        <v>4.4621059321162282E-2</v>
      </c>
      <c r="S210" s="25"/>
      <c r="T210" s="25"/>
      <c r="U210" s="25"/>
      <c r="V210" s="5"/>
    </row>
    <row r="211" spans="1:22" x14ac:dyDescent="0.35">
      <c r="A211" s="75"/>
      <c r="B211" s="76" t="s">
        <v>80</v>
      </c>
      <c r="C211" s="77"/>
      <c r="D211" s="77"/>
      <c r="E211" s="77"/>
      <c r="F211" s="77"/>
      <c r="G211" s="64"/>
      <c r="H211" s="64"/>
      <c r="I211" s="64"/>
      <c r="J211" s="64"/>
      <c r="K211" s="64"/>
      <c r="L211" s="64"/>
      <c r="M211" s="64"/>
      <c r="N211" s="64"/>
      <c r="O211" s="64"/>
      <c r="P211" s="64"/>
      <c r="Q211" s="64"/>
      <c r="R211" s="78">
        <v>9.35E-2</v>
      </c>
      <c r="S211" s="25"/>
      <c r="T211" s="25"/>
      <c r="U211" s="25"/>
      <c r="V211" s="5"/>
    </row>
    <row r="212" spans="1:22" x14ac:dyDescent="0.35">
      <c r="A212" s="75"/>
      <c r="B212" s="76"/>
      <c r="C212" s="76"/>
      <c r="D212" s="76"/>
      <c r="E212" s="76"/>
      <c r="F212" s="76"/>
      <c r="G212" s="25"/>
      <c r="H212" s="25"/>
      <c r="I212" s="25"/>
      <c r="J212" s="25"/>
      <c r="K212" s="25"/>
      <c r="L212" s="25"/>
      <c r="M212" s="25"/>
      <c r="N212" s="25"/>
      <c r="O212" s="25"/>
      <c r="P212" s="25"/>
      <c r="Q212" s="25"/>
      <c r="R212" s="61"/>
      <c r="S212" s="25"/>
      <c r="T212" s="79"/>
      <c r="U212" s="25"/>
      <c r="V212" s="5"/>
    </row>
    <row r="213" spans="1:22" x14ac:dyDescent="0.35">
      <c r="A213" s="80"/>
      <c r="B213" s="14" t="s">
        <v>81</v>
      </c>
      <c r="C213" s="81"/>
      <c r="D213" s="81"/>
      <c r="E213" s="81"/>
      <c r="F213" s="82"/>
      <c r="G213" s="81"/>
      <c r="H213" s="17"/>
      <c r="I213" s="17"/>
      <c r="J213" s="17"/>
      <c r="K213" s="17"/>
      <c r="L213" s="17"/>
      <c r="M213" s="17"/>
      <c r="N213" s="17"/>
      <c r="O213" s="17"/>
      <c r="P213" s="17"/>
      <c r="Q213" s="17" t="s">
        <v>106</v>
      </c>
      <c r="R213" s="83" t="s">
        <v>113</v>
      </c>
      <c r="S213" s="8"/>
      <c r="T213" s="8"/>
      <c r="U213" s="8"/>
      <c r="V213" s="5"/>
    </row>
    <row r="214" spans="1:22" x14ac:dyDescent="0.35">
      <c r="A214" s="84"/>
      <c r="B214" s="76" t="s">
        <v>82</v>
      </c>
      <c r="C214" s="54"/>
      <c r="D214" s="54"/>
      <c r="E214" s="54"/>
      <c r="F214" s="25"/>
      <c r="G214" s="25"/>
      <c r="H214" s="30"/>
      <c r="I214" s="30"/>
      <c r="J214" s="30"/>
      <c r="K214" s="30"/>
      <c r="L214" s="30"/>
      <c r="M214" s="30"/>
      <c r="N214" s="30"/>
      <c r="O214" s="30"/>
      <c r="P214" s="30"/>
      <c r="Q214" s="30">
        <v>0</v>
      </c>
      <c r="R214" s="85">
        <v>0</v>
      </c>
      <c r="S214" s="25"/>
      <c r="T214" s="79"/>
      <c r="U214" s="86"/>
      <c r="V214" s="5"/>
    </row>
    <row r="215" spans="1:22" x14ac:dyDescent="0.35">
      <c r="A215" s="84"/>
      <c r="B215" s="76" t="s">
        <v>152</v>
      </c>
      <c r="C215" s="54"/>
      <c r="D215" s="54"/>
      <c r="E215" s="54"/>
      <c r="F215" s="25"/>
      <c r="G215" s="25"/>
      <c r="H215" s="30"/>
      <c r="I215" s="30"/>
      <c r="J215" s="30"/>
      <c r="K215" s="30"/>
      <c r="L215" s="30"/>
      <c r="M215" s="30"/>
      <c r="N215" s="30"/>
      <c r="O215" s="30"/>
      <c r="P215" s="30"/>
      <c r="Q215" s="153">
        <f>+P255</f>
        <v>37</v>
      </c>
      <c r="R215" s="85">
        <f>+R255</f>
        <v>6082</v>
      </c>
      <c r="S215" s="25"/>
      <c r="T215" s="79"/>
      <c r="U215" s="86"/>
      <c r="V215" s="5"/>
    </row>
    <row r="216" spans="1:22" x14ac:dyDescent="0.35">
      <c r="A216" s="84"/>
      <c r="B216" s="76" t="s">
        <v>83</v>
      </c>
      <c r="C216" s="54"/>
      <c r="D216" s="54"/>
      <c r="E216" s="54"/>
      <c r="F216" s="25"/>
      <c r="G216" s="25"/>
      <c r="H216" s="30"/>
      <c r="I216" s="30"/>
      <c r="J216" s="30"/>
      <c r="K216" s="30"/>
      <c r="L216" s="30"/>
      <c r="M216" s="30"/>
      <c r="N216" s="30"/>
      <c r="O216" s="30"/>
      <c r="P216" s="30"/>
      <c r="Q216" s="30">
        <v>0</v>
      </c>
      <c r="R216" s="85">
        <v>0</v>
      </c>
      <c r="S216" s="25"/>
      <c r="T216" s="79"/>
      <c r="U216" s="86"/>
      <c r="V216" s="5"/>
    </row>
    <row r="217" spans="1:22" x14ac:dyDescent="0.35">
      <c r="A217" s="84"/>
      <c r="B217" s="122" t="s">
        <v>84</v>
      </c>
      <c r="C217" s="54"/>
      <c r="D217" s="54"/>
      <c r="E217" s="54"/>
      <c r="F217" s="25"/>
      <c r="G217" s="25"/>
      <c r="H217" s="25"/>
      <c r="I217" s="25"/>
      <c r="J217" s="25"/>
      <c r="K217" s="25"/>
      <c r="L217" s="25"/>
      <c r="M217" s="25"/>
      <c r="N217" s="25"/>
      <c r="O217" s="25"/>
      <c r="P217" s="25"/>
      <c r="Q217" s="25"/>
      <c r="R217" s="85">
        <v>0</v>
      </c>
      <c r="S217" s="25"/>
      <c r="T217" s="79"/>
      <c r="U217" s="86"/>
      <c r="V217" s="5"/>
    </row>
    <row r="218" spans="1:22" x14ac:dyDescent="0.35">
      <c r="A218" s="84"/>
      <c r="B218" s="122" t="s">
        <v>85</v>
      </c>
      <c r="C218" s="54"/>
      <c r="D218" s="54"/>
      <c r="E218" s="54"/>
      <c r="F218" s="25"/>
      <c r="G218" s="25"/>
      <c r="H218" s="25"/>
      <c r="I218" s="25"/>
      <c r="J218" s="25"/>
      <c r="K218" s="25"/>
      <c r="L218" s="25"/>
      <c r="M218" s="25"/>
      <c r="N218" s="25"/>
      <c r="O218" s="25"/>
      <c r="P218" s="25"/>
      <c r="Q218" s="25"/>
      <c r="R218" s="62" t="s">
        <v>114</v>
      </c>
      <c r="S218" s="25"/>
      <c r="T218" s="79"/>
      <c r="U218" s="86"/>
      <c r="V218" s="5"/>
    </row>
    <row r="219" spans="1:22" x14ac:dyDescent="0.35">
      <c r="A219" s="87"/>
      <c r="B219" s="122" t="s">
        <v>86</v>
      </c>
      <c r="C219" s="76"/>
      <c r="D219" s="76"/>
      <c r="E219" s="76"/>
      <c r="F219" s="76"/>
      <c r="G219" s="25"/>
      <c r="H219" s="25"/>
      <c r="I219" s="25"/>
      <c r="J219" s="25"/>
      <c r="K219" s="25"/>
      <c r="L219" s="25"/>
      <c r="M219" s="25"/>
      <c r="N219" s="25"/>
      <c r="O219" s="25"/>
      <c r="P219" s="25"/>
      <c r="Q219" s="25"/>
      <c r="R219" s="85"/>
      <c r="S219" s="25"/>
      <c r="T219" s="79"/>
      <c r="U219" s="88"/>
      <c r="V219" s="5"/>
    </row>
    <row r="220" spans="1:22" x14ac:dyDescent="0.35">
      <c r="A220" s="87"/>
      <c r="B220" s="132" t="s">
        <v>87</v>
      </c>
      <c r="C220" s="76"/>
      <c r="D220" s="76"/>
      <c r="E220" s="76"/>
      <c r="F220" s="76"/>
      <c r="G220" s="25"/>
      <c r="H220" s="25"/>
      <c r="I220" s="25"/>
      <c r="J220" s="25"/>
      <c r="K220" s="25"/>
      <c r="L220" s="25"/>
      <c r="M220" s="25"/>
      <c r="N220" s="25"/>
      <c r="O220" s="25"/>
      <c r="P220" s="25"/>
      <c r="Q220" s="30"/>
      <c r="R220" s="85">
        <v>87</v>
      </c>
      <c r="S220" s="25"/>
      <c r="T220" s="79"/>
      <c r="U220" s="88"/>
      <c r="V220" s="5"/>
    </row>
    <row r="221" spans="1:22" x14ac:dyDescent="0.35">
      <c r="A221" s="84"/>
      <c r="B221" s="76" t="s">
        <v>88</v>
      </c>
      <c r="C221" s="54"/>
      <c r="D221" s="54"/>
      <c r="E221" s="54"/>
      <c r="F221" s="54"/>
      <c r="G221" s="25"/>
      <c r="H221" s="25"/>
      <c r="I221" s="25"/>
      <c r="J221" s="25"/>
      <c r="K221" s="25"/>
      <c r="L221" s="25"/>
      <c r="M221" s="25"/>
      <c r="N221" s="25"/>
      <c r="O221" s="25"/>
      <c r="P221" s="25"/>
      <c r="Q221" s="85"/>
      <c r="R221" s="85">
        <f>'Feb 07'!R220+R220</f>
        <v>88</v>
      </c>
      <c r="S221" s="25"/>
      <c r="T221" s="79"/>
      <c r="U221" s="88"/>
      <c r="V221" s="5"/>
    </row>
    <row r="222" spans="1:22" x14ac:dyDescent="0.35">
      <c r="A222" s="87"/>
      <c r="B222" s="122" t="s">
        <v>295</v>
      </c>
      <c r="C222" s="76"/>
      <c r="D222" s="76"/>
      <c r="E222" s="76"/>
      <c r="F222" s="76"/>
      <c r="G222" s="25"/>
      <c r="H222" s="25"/>
      <c r="I222" s="25"/>
      <c r="J222" s="25"/>
      <c r="K222" s="25"/>
      <c r="L222" s="25"/>
      <c r="M222" s="25"/>
      <c r="N222" s="25"/>
      <c r="O222" s="25"/>
      <c r="P222" s="25"/>
      <c r="Q222" s="30"/>
      <c r="R222" s="85"/>
      <c r="S222" s="25"/>
      <c r="T222" s="79"/>
      <c r="U222" s="88"/>
      <c r="V222" s="5"/>
    </row>
    <row r="223" spans="1:22" x14ac:dyDescent="0.35">
      <c r="A223" s="87"/>
      <c r="B223" s="76" t="s">
        <v>292</v>
      </c>
      <c r="C223" s="76"/>
      <c r="D223" s="76"/>
      <c r="E223" s="76"/>
      <c r="F223" s="76"/>
      <c r="G223" s="25"/>
      <c r="H223" s="25"/>
      <c r="I223" s="25"/>
      <c r="J223" s="25"/>
      <c r="K223" s="25"/>
      <c r="L223" s="25"/>
      <c r="M223" s="25"/>
      <c r="N223" s="25"/>
      <c r="O223" s="25"/>
      <c r="P223" s="25"/>
      <c r="Q223" s="30">
        <v>0</v>
      </c>
      <c r="R223" s="85">
        <v>0</v>
      </c>
      <c r="S223" s="25"/>
      <c r="T223" s="79"/>
      <c r="U223" s="88"/>
      <c r="V223" s="5"/>
    </row>
    <row r="224" spans="1:22" x14ac:dyDescent="0.35">
      <c r="A224" s="84"/>
      <c r="B224" s="76" t="s">
        <v>90</v>
      </c>
      <c r="C224" s="89"/>
      <c r="D224" s="89"/>
      <c r="E224" s="89"/>
      <c r="F224" s="90"/>
      <c r="G224" s="25"/>
      <c r="H224" s="25"/>
      <c r="I224" s="25"/>
      <c r="J224" s="25"/>
      <c r="K224" s="25"/>
      <c r="L224" s="25"/>
      <c r="M224" s="25"/>
      <c r="N224" s="25"/>
      <c r="O224" s="25"/>
      <c r="P224" s="25"/>
      <c r="Q224" s="25"/>
      <c r="R224" s="62">
        <v>0</v>
      </c>
      <c r="S224" s="25"/>
      <c r="T224" s="79"/>
      <c r="U224" s="88"/>
      <c r="V224" s="5"/>
    </row>
    <row r="225" spans="1:23" x14ac:dyDescent="0.35">
      <c r="A225" s="84"/>
      <c r="B225" s="76" t="s">
        <v>91</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122" t="s">
        <v>260</v>
      </c>
      <c r="C226" s="89"/>
      <c r="D226" s="89"/>
      <c r="E226" s="89"/>
      <c r="F226" s="90"/>
      <c r="G226" s="25"/>
      <c r="H226" s="25"/>
      <c r="I226" s="25"/>
      <c r="J226" s="25"/>
      <c r="K226" s="25"/>
      <c r="L226" s="25"/>
      <c r="M226" s="25"/>
      <c r="N226" s="25"/>
      <c r="O226" s="25"/>
      <c r="P226" s="25"/>
      <c r="Q226" s="25"/>
      <c r="R226" s="91"/>
      <c r="S226" s="25"/>
      <c r="T226" s="79"/>
      <c r="U226" s="88"/>
      <c r="V226" s="5"/>
    </row>
    <row r="227" spans="1:23" x14ac:dyDescent="0.35">
      <c r="A227" s="84"/>
      <c r="B227" s="76" t="s">
        <v>292</v>
      </c>
      <c r="C227" s="89"/>
      <c r="D227" s="89"/>
      <c r="E227" s="89"/>
      <c r="F227" s="90"/>
      <c r="G227" s="25"/>
      <c r="H227" s="25"/>
      <c r="I227" s="25"/>
      <c r="J227" s="25"/>
      <c r="K227" s="25"/>
      <c r="L227" s="25"/>
      <c r="M227" s="25"/>
      <c r="N227" s="25"/>
      <c r="O227" s="25"/>
      <c r="P227" s="25"/>
      <c r="Q227" s="30">
        <v>6</v>
      </c>
      <c r="R227" s="85">
        <v>1073</v>
      </c>
      <c r="S227" s="25"/>
      <c r="T227" s="79"/>
      <c r="U227" s="88"/>
      <c r="V227" s="5"/>
    </row>
    <row r="228" spans="1:23" x14ac:dyDescent="0.35">
      <c r="A228" s="84"/>
      <c r="B228" s="76" t="s">
        <v>261</v>
      </c>
      <c r="C228" s="89"/>
      <c r="D228" s="89"/>
      <c r="E228" s="89"/>
      <c r="F228" s="90"/>
      <c r="G228" s="25"/>
      <c r="H228" s="25"/>
      <c r="I228" s="25"/>
      <c r="J228" s="25"/>
      <c r="K228" s="25"/>
      <c r="L228" s="25"/>
      <c r="M228" s="25"/>
      <c r="N228" s="25"/>
      <c r="O228" s="25"/>
      <c r="P228" s="25"/>
      <c r="Q228" s="25"/>
      <c r="R228" s="62">
        <v>8.2899999999999991</v>
      </c>
      <c r="S228" s="25"/>
      <c r="T228" s="79"/>
      <c r="U228" s="88"/>
      <c r="V228" s="5"/>
    </row>
    <row r="229" spans="1:23" x14ac:dyDescent="0.35">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7.5" x14ac:dyDescent="0.35">
      <c r="A231" s="84"/>
      <c r="B231" s="150" t="s">
        <v>178</v>
      </c>
      <c r="C231" s="89"/>
      <c r="D231" s="89"/>
      <c r="E231" s="89"/>
      <c r="F231" s="90"/>
      <c r="G231" s="25"/>
      <c r="H231" s="25"/>
      <c r="I231" s="25"/>
      <c r="J231" s="25"/>
      <c r="K231" s="25"/>
      <c r="L231" s="25"/>
      <c r="M231" s="25"/>
      <c r="N231" s="151" t="s">
        <v>177</v>
      </c>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x14ac:dyDescent="0.35">
      <c r="A233" s="6"/>
      <c r="B233" s="14" t="s">
        <v>171</v>
      </c>
      <c r="C233" s="81"/>
      <c r="D233" s="81"/>
      <c r="E233" s="81"/>
      <c r="F233" s="82"/>
      <c r="G233" s="81"/>
      <c r="H233" s="17"/>
      <c r="I233" s="17"/>
      <c r="J233" s="17"/>
      <c r="K233" s="17"/>
      <c r="L233" s="17"/>
      <c r="M233" s="17"/>
      <c r="N233" s="17"/>
      <c r="O233" s="17"/>
      <c r="P233" s="83" t="s">
        <v>106</v>
      </c>
      <c r="Q233" s="17" t="s">
        <v>107</v>
      </c>
      <c r="R233" s="83" t="s">
        <v>115</v>
      </c>
      <c r="S233" s="17" t="s">
        <v>107</v>
      </c>
      <c r="T233" s="8"/>
      <c r="U233" s="92"/>
      <c r="V233" s="5"/>
    </row>
    <row r="234" spans="1:23" x14ac:dyDescent="0.35">
      <c r="A234" s="24"/>
      <c r="B234" s="54" t="s">
        <v>92</v>
      </c>
      <c r="C234" s="93"/>
      <c r="D234" s="93"/>
      <c r="E234" s="93"/>
      <c r="F234" s="25"/>
      <c r="G234" s="93"/>
      <c r="H234" s="93"/>
      <c r="I234" s="93"/>
      <c r="J234" s="93"/>
      <c r="K234" s="93"/>
      <c r="L234" s="93"/>
      <c r="M234" s="93"/>
      <c r="N234" s="93"/>
      <c r="O234" s="93"/>
      <c r="P234" s="54">
        <v>6521</v>
      </c>
      <c r="Q234" s="94">
        <f t="shared" ref="Q234:Q241" si="1">P234/$P$243</f>
        <v>0.9934491163924436</v>
      </c>
      <c r="R234" s="53">
        <v>872912</v>
      </c>
      <c r="S234" s="133">
        <f t="shared" ref="S234:S241" si="2">R234/$R$243</f>
        <v>0.99158037268096744</v>
      </c>
      <c r="T234" s="79"/>
      <c r="U234" s="88"/>
      <c r="V234" s="5"/>
    </row>
    <row r="235" spans="1:23" x14ac:dyDescent="0.35">
      <c r="A235" s="24"/>
      <c r="B235" s="54" t="s">
        <v>93</v>
      </c>
      <c r="C235" s="93"/>
      <c r="D235" s="93"/>
      <c r="E235" s="93"/>
      <c r="F235" s="25"/>
      <c r="G235" s="94"/>
      <c r="H235" s="93"/>
      <c r="I235" s="93"/>
      <c r="J235" s="93"/>
      <c r="K235" s="93"/>
      <c r="L235" s="93"/>
      <c r="M235" s="93"/>
      <c r="N235" s="93"/>
      <c r="O235" s="93"/>
      <c r="P235" s="54">
        <v>35</v>
      </c>
      <c r="Q235" s="94">
        <f t="shared" si="1"/>
        <v>5.3321145642900667E-3</v>
      </c>
      <c r="R235" s="53">
        <v>4770</v>
      </c>
      <c r="S235" s="133">
        <f t="shared" si="2"/>
        <v>5.4184595671593642E-3</v>
      </c>
      <c r="T235" s="79"/>
      <c r="U235" s="88"/>
      <c r="V235" s="5"/>
      <c r="W235" s="109"/>
    </row>
    <row r="236" spans="1:23" x14ac:dyDescent="0.35">
      <c r="A236" s="24"/>
      <c r="B236" s="54" t="s">
        <v>94</v>
      </c>
      <c r="C236" s="93"/>
      <c r="D236" s="93"/>
      <c r="E236" s="93"/>
      <c r="F236" s="25"/>
      <c r="G236" s="94"/>
      <c r="H236" s="93"/>
      <c r="I236" s="93"/>
      <c r="J236" s="93"/>
      <c r="K236" s="93"/>
      <c r="L236" s="93"/>
      <c r="M236" s="93"/>
      <c r="N236" s="93"/>
      <c r="O236" s="93"/>
      <c r="P236" s="54">
        <v>6</v>
      </c>
      <c r="Q236" s="94">
        <f t="shared" si="1"/>
        <v>9.1407678244972577E-4</v>
      </c>
      <c r="R236" s="53">
        <v>762</v>
      </c>
      <c r="S236" s="133">
        <f t="shared" si="2"/>
        <v>8.6559039626319398E-4</v>
      </c>
      <c r="T236" s="79"/>
      <c r="U236" s="88"/>
      <c r="V236" s="5"/>
    </row>
    <row r="237" spans="1:23" x14ac:dyDescent="0.35">
      <c r="A237" s="24"/>
      <c r="B237" s="54" t="s">
        <v>164</v>
      </c>
      <c r="C237" s="93"/>
      <c r="D237" s="93"/>
      <c r="E237" s="93"/>
      <c r="F237" s="25"/>
      <c r="G237" s="94"/>
      <c r="H237" s="93"/>
      <c r="I237" s="93"/>
      <c r="J237" s="93"/>
      <c r="K237" s="93"/>
      <c r="L237" s="93"/>
      <c r="M237" s="93"/>
      <c r="N237" s="93"/>
      <c r="O237" s="93"/>
      <c r="P237" s="54">
        <v>0</v>
      </c>
      <c r="Q237" s="94">
        <f t="shared" si="1"/>
        <v>0</v>
      </c>
      <c r="R237" s="53">
        <v>0</v>
      </c>
      <c r="S237" s="133">
        <f t="shared" si="2"/>
        <v>0</v>
      </c>
      <c r="T237" s="79"/>
      <c r="U237" s="88"/>
      <c r="V237" s="5"/>
      <c r="W237" s="109"/>
    </row>
    <row r="238" spans="1:23" x14ac:dyDescent="0.35">
      <c r="A238" s="24"/>
      <c r="B238" s="54" t="s">
        <v>165</v>
      </c>
      <c r="C238" s="93"/>
      <c r="D238" s="93"/>
      <c r="E238" s="93"/>
      <c r="F238" s="25"/>
      <c r="G238" s="94"/>
      <c r="H238" s="93"/>
      <c r="I238" s="93"/>
      <c r="J238" s="93"/>
      <c r="K238" s="93"/>
      <c r="L238" s="93"/>
      <c r="M238" s="93"/>
      <c r="N238" s="93"/>
      <c r="O238" s="93"/>
      <c r="P238" s="54">
        <v>1</v>
      </c>
      <c r="Q238" s="94">
        <f t="shared" si="1"/>
        <v>1.5234613040828764E-4</v>
      </c>
      <c r="R238" s="53">
        <v>1667</v>
      </c>
      <c r="S238" s="133">
        <f t="shared" si="2"/>
        <v>1.893620985000977E-3</v>
      </c>
      <c r="T238" s="79"/>
      <c r="U238" s="88"/>
      <c r="V238" s="5"/>
    </row>
    <row r="239" spans="1:23" x14ac:dyDescent="0.35">
      <c r="A239" s="24"/>
      <c r="B239" s="54" t="s">
        <v>166</v>
      </c>
      <c r="C239" s="93"/>
      <c r="D239" s="93"/>
      <c r="E239" s="93"/>
      <c r="F239" s="25"/>
      <c r="G239" s="94"/>
      <c r="H239" s="93"/>
      <c r="I239" s="93"/>
      <c r="J239" s="93"/>
      <c r="K239" s="93"/>
      <c r="L239" s="93"/>
      <c r="M239" s="93"/>
      <c r="N239" s="93"/>
      <c r="O239" s="93"/>
      <c r="P239" s="54">
        <v>1</v>
      </c>
      <c r="Q239" s="94">
        <f t="shared" si="1"/>
        <v>1.5234613040828764E-4</v>
      </c>
      <c r="R239" s="53">
        <v>213</v>
      </c>
      <c r="S239" s="133">
        <f>R239/$R$243</f>
        <v>2.4195637060900305E-4</v>
      </c>
      <c r="T239" s="79"/>
      <c r="U239" s="88"/>
      <c r="V239" s="5"/>
      <c r="W239" s="109"/>
    </row>
    <row r="240" spans="1:23" x14ac:dyDescent="0.35">
      <c r="A240" s="24"/>
      <c r="B240" s="54" t="s">
        <v>167</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row>
    <row r="241" spans="1:23" x14ac:dyDescent="0.35">
      <c r="A241" s="24"/>
      <c r="B241" s="54" t="s">
        <v>168</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c r="W241" s="109"/>
    </row>
    <row r="242" spans="1:23" x14ac:dyDescent="0.35">
      <c r="A242" s="24"/>
      <c r="B242" s="54"/>
      <c r="C242" s="93"/>
      <c r="D242" s="93"/>
      <c r="E242" s="93"/>
      <c r="F242" s="25"/>
      <c r="G242" s="94"/>
      <c r="H242" s="93"/>
      <c r="I242" s="93"/>
      <c r="J242" s="93"/>
      <c r="K242" s="93"/>
      <c r="L242" s="93"/>
      <c r="M242" s="93"/>
      <c r="N242" s="93"/>
      <c r="O242" s="93"/>
      <c r="P242" s="54"/>
      <c r="Q242" s="94"/>
      <c r="R242" s="53"/>
      <c r="S242" s="133"/>
      <c r="T242" s="79"/>
      <c r="U242" s="88"/>
      <c r="V242" s="5"/>
    </row>
    <row r="243" spans="1:23" x14ac:dyDescent="0.35">
      <c r="A243" s="24"/>
      <c r="B243" s="25"/>
      <c r="C243" s="25"/>
      <c r="D243" s="25"/>
      <c r="E243" s="25"/>
      <c r="F243" s="25"/>
      <c r="G243" s="25"/>
      <c r="H243" s="95"/>
      <c r="I243" s="95"/>
      <c r="J243" s="95"/>
      <c r="K243" s="95"/>
      <c r="L243" s="95"/>
      <c r="M243" s="95"/>
      <c r="N243" s="95"/>
      <c r="O243" s="95"/>
      <c r="P243" s="34">
        <f>SUM(P234:P242)</f>
        <v>6564</v>
      </c>
      <c r="Q243" s="133">
        <f>SUM(Q234:Q242)</f>
        <v>0.99999999999999989</v>
      </c>
      <c r="R243" s="53">
        <f>SUM(R234:R242)</f>
        <v>880324</v>
      </c>
      <c r="S243" s="133">
        <f>SUM(S234:S242)</f>
        <v>1</v>
      </c>
      <c r="T243" s="25"/>
      <c r="U243" s="25"/>
      <c r="V243" s="5"/>
    </row>
    <row r="244" spans="1:23" x14ac:dyDescent="0.35">
      <c r="A244" s="24"/>
      <c r="B244" s="25"/>
      <c r="C244" s="25"/>
      <c r="D244" s="25"/>
      <c r="E244" s="25"/>
      <c r="F244" s="25"/>
      <c r="G244" s="25"/>
      <c r="H244" s="95"/>
      <c r="I244" s="95"/>
      <c r="J244" s="95"/>
      <c r="K244" s="95"/>
      <c r="L244" s="95"/>
      <c r="M244" s="95"/>
      <c r="N244" s="95"/>
      <c r="O244" s="95"/>
      <c r="P244" s="34"/>
      <c r="Q244" s="133"/>
      <c r="R244" s="53"/>
      <c r="S244" s="133"/>
      <c r="T244" s="25"/>
      <c r="U244" s="25"/>
      <c r="V244" s="5"/>
    </row>
    <row r="245" spans="1:23" x14ac:dyDescent="0.35">
      <c r="A245" s="142"/>
      <c r="B245" s="14" t="s">
        <v>275</v>
      </c>
      <c r="C245" s="81"/>
      <c r="D245" s="81"/>
      <c r="E245" s="81"/>
      <c r="F245" s="82"/>
      <c r="G245" s="81"/>
      <c r="H245" s="17"/>
      <c r="I245" s="17"/>
      <c r="J245" s="17"/>
      <c r="K245" s="17"/>
      <c r="L245" s="17"/>
      <c r="M245" s="17"/>
      <c r="N245" s="17"/>
      <c r="O245" s="17"/>
      <c r="P245" s="83" t="s">
        <v>106</v>
      </c>
      <c r="Q245" s="17" t="s">
        <v>107</v>
      </c>
      <c r="R245" s="83" t="s">
        <v>115</v>
      </c>
      <c r="S245" s="17" t="s">
        <v>107</v>
      </c>
      <c r="T245" s="140"/>
      <c r="U245" s="141"/>
      <c r="V245" s="5"/>
    </row>
    <row r="246" spans="1:23" x14ac:dyDescent="0.35">
      <c r="A246" s="24"/>
      <c r="B246" s="54" t="s">
        <v>92</v>
      </c>
      <c r="C246" s="93"/>
      <c r="D246" s="93"/>
      <c r="E246" s="93"/>
      <c r="F246" s="25"/>
      <c r="G246" s="93"/>
      <c r="H246" s="93"/>
      <c r="I246" s="93"/>
      <c r="J246" s="93"/>
      <c r="K246" s="93"/>
      <c r="L246" s="93"/>
      <c r="M246" s="93"/>
      <c r="N246" s="93"/>
      <c r="O246" s="93"/>
      <c r="P246" s="54">
        <v>5</v>
      </c>
      <c r="Q246" s="94">
        <f t="shared" ref="Q246:Q253" si="3">P246/$P$255</f>
        <v>0.13513513513513514</v>
      </c>
      <c r="R246" s="53">
        <v>598</v>
      </c>
      <c r="S246" s="133">
        <f t="shared" ref="S246:S253" si="4">R246/$R$255</f>
        <v>9.8322920092074981E-2</v>
      </c>
      <c r="T246" s="25"/>
      <c r="U246" s="25"/>
      <c r="V246" s="5"/>
    </row>
    <row r="247" spans="1:23" x14ac:dyDescent="0.35">
      <c r="A247" s="24"/>
      <c r="B247" s="54" t="s">
        <v>93</v>
      </c>
      <c r="C247" s="93"/>
      <c r="D247" s="93"/>
      <c r="E247" s="93"/>
      <c r="F247" s="25"/>
      <c r="G247" s="94"/>
      <c r="H247" s="93"/>
      <c r="I247" s="93"/>
      <c r="J247" s="93"/>
      <c r="K247" s="93"/>
      <c r="L247" s="93"/>
      <c r="M247" s="93"/>
      <c r="N247" s="93"/>
      <c r="O247" s="93"/>
      <c r="P247" s="54">
        <v>1</v>
      </c>
      <c r="Q247" s="94">
        <f t="shared" si="3"/>
        <v>2.7027027027027029E-2</v>
      </c>
      <c r="R247" s="53">
        <v>131</v>
      </c>
      <c r="S247" s="133">
        <f t="shared" si="4"/>
        <v>2.1538967444919434E-2</v>
      </c>
      <c r="T247" s="25"/>
      <c r="U247" s="25"/>
      <c r="V247" s="5"/>
    </row>
    <row r="248" spans="1:23" x14ac:dyDescent="0.35">
      <c r="A248" s="24"/>
      <c r="B248" s="54" t="s">
        <v>94</v>
      </c>
      <c r="C248" s="93"/>
      <c r="D248" s="93"/>
      <c r="E248" s="93"/>
      <c r="F248" s="25"/>
      <c r="G248" s="94"/>
      <c r="H248" s="93"/>
      <c r="I248" s="93"/>
      <c r="J248" s="93"/>
      <c r="K248" s="93"/>
      <c r="L248" s="93"/>
      <c r="M248" s="93"/>
      <c r="N248" s="93"/>
      <c r="O248" s="93"/>
      <c r="P248" s="54">
        <v>4</v>
      </c>
      <c r="Q248" s="94">
        <f t="shared" si="3"/>
        <v>0.10810810810810811</v>
      </c>
      <c r="R248" s="53">
        <v>661</v>
      </c>
      <c r="S248" s="133">
        <f t="shared" si="4"/>
        <v>0.10868135481749425</v>
      </c>
      <c r="T248" s="25"/>
      <c r="U248" s="25"/>
      <c r="V248" s="5"/>
    </row>
    <row r="249" spans="1:23" x14ac:dyDescent="0.35">
      <c r="A249" s="24"/>
      <c r="B249" s="54" t="s">
        <v>164</v>
      </c>
      <c r="C249" s="93"/>
      <c r="D249" s="93"/>
      <c r="E249" s="93"/>
      <c r="F249" s="25"/>
      <c r="G249" s="94"/>
      <c r="H249" s="93"/>
      <c r="I249" s="93"/>
      <c r="J249" s="93"/>
      <c r="K249" s="93"/>
      <c r="L249" s="93"/>
      <c r="M249" s="93"/>
      <c r="N249" s="93"/>
      <c r="O249" s="93"/>
      <c r="P249" s="54">
        <v>4</v>
      </c>
      <c r="Q249" s="94">
        <f t="shared" si="3"/>
        <v>0.10810810810810811</v>
      </c>
      <c r="R249" s="53">
        <v>443</v>
      </c>
      <c r="S249" s="133">
        <f t="shared" si="4"/>
        <v>7.2837882275567242E-2</v>
      </c>
      <c r="T249" s="25"/>
      <c r="U249" s="25"/>
      <c r="V249" s="5"/>
    </row>
    <row r="250" spans="1:23" x14ac:dyDescent="0.35">
      <c r="A250" s="24"/>
      <c r="B250" s="54" t="s">
        <v>165</v>
      </c>
      <c r="C250" s="93"/>
      <c r="D250" s="93"/>
      <c r="E250" s="93"/>
      <c r="F250" s="25"/>
      <c r="G250" s="94"/>
      <c r="H250" s="93"/>
      <c r="I250" s="93"/>
      <c r="J250" s="93"/>
      <c r="K250" s="93"/>
      <c r="L250" s="93"/>
      <c r="M250" s="93"/>
      <c r="N250" s="93"/>
      <c r="O250" s="93"/>
      <c r="P250" s="54">
        <v>4</v>
      </c>
      <c r="Q250" s="94">
        <f t="shared" si="3"/>
        <v>0.10810810810810811</v>
      </c>
      <c r="R250" s="53">
        <v>723</v>
      </c>
      <c r="S250" s="133">
        <f t="shared" si="4"/>
        <v>0.11887536994409734</v>
      </c>
      <c r="T250" s="25"/>
      <c r="U250" s="25"/>
      <c r="V250" s="5"/>
    </row>
    <row r="251" spans="1:23" x14ac:dyDescent="0.35">
      <c r="A251" s="24"/>
      <c r="B251" s="54" t="s">
        <v>166</v>
      </c>
      <c r="C251" s="93"/>
      <c r="D251" s="93"/>
      <c r="E251" s="93"/>
      <c r="F251" s="25"/>
      <c r="G251" s="94"/>
      <c r="H251" s="93"/>
      <c r="I251" s="93"/>
      <c r="J251" s="93"/>
      <c r="K251" s="93"/>
      <c r="L251" s="93"/>
      <c r="M251" s="93"/>
      <c r="N251" s="93"/>
      <c r="O251" s="93"/>
      <c r="P251" s="54">
        <v>0</v>
      </c>
      <c r="Q251" s="94">
        <f t="shared" si="3"/>
        <v>0</v>
      </c>
      <c r="R251" s="53">
        <v>0</v>
      </c>
      <c r="S251" s="133">
        <f t="shared" si="4"/>
        <v>0</v>
      </c>
      <c r="T251" s="25"/>
      <c r="U251" s="25"/>
      <c r="V251" s="5"/>
    </row>
    <row r="252" spans="1:23" x14ac:dyDescent="0.35">
      <c r="A252" s="24"/>
      <c r="B252" s="54" t="s">
        <v>167</v>
      </c>
      <c r="C252" s="93"/>
      <c r="D252" s="93"/>
      <c r="E252" s="93"/>
      <c r="F252" s="25"/>
      <c r="G252" s="94"/>
      <c r="H252" s="93"/>
      <c r="I252" s="93"/>
      <c r="J252" s="93"/>
      <c r="K252" s="93"/>
      <c r="L252" s="93"/>
      <c r="M252" s="93"/>
      <c r="N252" s="93"/>
      <c r="O252" s="93"/>
      <c r="P252" s="54">
        <v>8</v>
      </c>
      <c r="Q252" s="94">
        <f t="shared" si="3"/>
        <v>0.21621621621621623</v>
      </c>
      <c r="R252" s="53">
        <v>1838</v>
      </c>
      <c r="S252" s="133">
        <f t="shared" si="4"/>
        <v>0.30220322262413679</v>
      </c>
      <c r="T252" s="25"/>
      <c r="U252" s="25"/>
      <c r="V252" s="5"/>
    </row>
    <row r="253" spans="1:23" x14ac:dyDescent="0.35">
      <c r="A253" s="24"/>
      <c r="B253" s="54" t="s">
        <v>168</v>
      </c>
      <c r="C253" s="93"/>
      <c r="D253" s="93"/>
      <c r="E253" s="93"/>
      <c r="F253" s="25"/>
      <c r="G253" s="94"/>
      <c r="H253" s="93"/>
      <c r="I253" s="93"/>
      <c r="J253" s="93"/>
      <c r="K253" s="93"/>
      <c r="L253" s="93"/>
      <c r="M253" s="93"/>
      <c r="N253" s="93"/>
      <c r="O253" s="93"/>
      <c r="P253" s="54">
        <v>11</v>
      </c>
      <c r="Q253" s="94">
        <f t="shared" si="3"/>
        <v>0.29729729729729731</v>
      </c>
      <c r="R253" s="53">
        <v>1688</v>
      </c>
      <c r="S253" s="133">
        <f t="shared" si="4"/>
        <v>0.27754028280170995</v>
      </c>
      <c r="T253" s="25"/>
      <c r="U253" s="25"/>
      <c r="V253" s="5"/>
    </row>
    <row r="254" spans="1:23" x14ac:dyDescent="0.35">
      <c r="A254" s="24"/>
      <c r="B254" s="54"/>
      <c r="C254" s="93"/>
      <c r="D254" s="93"/>
      <c r="E254" s="93"/>
      <c r="F254" s="25"/>
      <c r="G254" s="94"/>
      <c r="H254" s="93"/>
      <c r="I254" s="93"/>
      <c r="J254" s="93"/>
      <c r="K254" s="93"/>
      <c r="L254" s="93"/>
      <c r="M254" s="93"/>
      <c r="N254" s="93"/>
      <c r="O254" s="93"/>
      <c r="P254" s="54"/>
      <c r="Q254" s="94"/>
      <c r="R254" s="53"/>
      <c r="S254" s="133"/>
      <c r="T254" s="25"/>
      <c r="U254" s="25"/>
      <c r="V254" s="5"/>
    </row>
    <row r="255" spans="1:23" x14ac:dyDescent="0.35">
      <c r="A255" s="24"/>
      <c r="B255" s="25"/>
      <c r="C255" s="25"/>
      <c r="D255" s="25"/>
      <c r="E255" s="25"/>
      <c r="F255" s="25"/>
      <c r="G255" s="25"/>
      <c r="H255" s="95"/>
      <c r="I255" s="95"/>
      <c r="J255" s="95"/>
      <c r="K255" s="95"/>
      <c r="L255" s="95"/>
      <c r="M255" s="95"/>
      <c r="N255" s="95"/>
      <c r="O255" s="95"/>
      <c r="P255" s="34">
        <f>SUM(P246:P254)</f>
        <v>37</v>
      </c>
      <c r="Q255" s="133">
        <f>SUM(Q246:Q254)</f>
        <v>1</v>
      </c>
      <c r="R255" s="53">
        <f>SUM(R246:R254)</f>
        <v>6082</v>
      </c>
      <c r="S255" s="133">
        <f>SUM(S246:S254)</f>
        <v>1</v>
      </c>
      <c r="T255" s="25"/>
      <c r="U255" s="25"/>
      <c r="V255" s="5"/>
    </row>
    <row r="256" spans="1:23" x14ac:dyDescent="0.35">
      <c r="A256" s="24"/>
      <c r="B256" s="25"/>
      <c r="C256" s="25"/>
      <c r="D256" s="25"/>
      <c r="E256" s="25"/>
      <c r="F256" s="25"/>
      <c r="G256" s="25"/>
      <c r="H256" s="95"/>
      <c r="I256" s="95"/>
      <c r="J256" s="95"/>
      <c r="K256" s="95"/>
      <c r="L256" s="95"/>
      <c r="M256" s="95"/>
      <c r="N256" s="95"/>
      <c r="O256" s="95"/>
      <c r="P256" s="34"/>
      <c r="Q256" s="133"/>
      <c r="R256" s="53"/>
      <c r="S256" s="133"/>
      <c r="T256" s="25"/>
      <c r="U256" s="25"/>
      <c r="V256" s="5"/>
    </row>
    <row r="257" spans="1:22" x14ac:dyDescent="0.35">
      <c r="A257" s="142"/>
      <c r="B257" s="14" t="s">
        <v>173</v>
      </c>
      <c r="C257" s="140"/>
      <c r="D257" s="140"/>
      <c r="E257" s="140"/>
      <c r="F257" s="140"/>
      <c r="G257" s="140"/>
      <c r="H257" s="146"/>
      <c r="I257" s="146"/>
      <c r="J257" s="146"/>
      <c r="K257" s="146"/>
      <c r="L257" s="146"/>
      <c r="M257" s="146"/>
      <c r="N257" s="146"/>
      <c r="O257" s="146"/>
      <c r="P257" s="83" t="s">
        <v>106</v>
      </c>
      <c r="Q257" s="17" t="s">
        <v>107</v>
      </c>
      <c r="R257" s="83" t="s">
        <v>115</v>
      </c>
      <c r="S257" s="17" t="s">
        <v>107</v>
      </c>
      <c r="T257" s="140"/>
      <c r="U257" s="141"/>
      <c r="V257" s="5"/>
    </row>
    <row r="258" spans="1:22" x14ac:dyDescent="0.35">
      <c r="A258" s="24"/>
      <c r="B258" s="54" t="s">
        <v>92</v>
      </c>
      <c r="C258" s="25"/>
      <c r="D258" s="25"/>
      <c r="E258" s="25"/>
      <c r="F258" s="25"/>
      <c r="G258" s="25"/>
      <c r="H258" s="95"/>
      <c r="I258" s="95"/>
      <c r="J258" s="95"/>
      <c r="K258" s="95"/>
      <c r="L258" s="95"/>
      <c r="M258" s="95"/>
      <c r="N258" s="95"/>
      <c r="O258" s="95"/>
      <c r="P258" s="54">
        <v>0</v>
      </c>
      <c r="Q258" s="94">
        <v>0</v>
      </c>
      <c r="R258" s="53">
        <v>0</v>
      </c>
      <c r="S258" s="133">
        <v>0</v>
      </c>
      <c r="T258" s="25"/>
      <c r="U258" s="25"/>
      <c r="V258" s="5"/>
    </row>
    <row r="259" spans="1:22" x14ac:dyDescent="0.35">
      <c r="A259" s="24"/>
      <c r="B259" s="54" t="s">
        <v>93</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94</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164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165</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166</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167</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168</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c r="C266" s="25"/>
      <c r="D266" s="25"/>
      <c r="E266" s="25"/>
      <c r="F266" s="25"/>
      <c r="G266" s="25"/>
      <c r="H266" s="95"/>
      <c r="I266" s="95"/>
      <c r="J266" s="95"/>
      <c r="K266" s="95"/>
      <c r="L266" s="95"/>
      <c r="M266" s="95"/>
      <c r="N266" s="95"/>
      <c r="O266" s="95"/>
      <c r="P266" s="54"/>
      <c r="Q266" s="94"/>
      <c r="R266" s="53"/>
      <c r="S266" s="133"/>
      <c r="T266" s="25"/>
      <c r="U266" s="25"/>
      <c r="V266" s="5"/>
    </row>
    <row r="267" spans="1:22" x14ac:dyDescent="0.35">
      <c r="A267" s="24"/>
      <c r="B267" s="25" t="s">
        <v>121</v>
      </c>
      <c r="C267" s="25"/>
      <c r="D267" s="25"/>
      <c r="E267" s="25"/>
      <c r="F267" s="25"/>
      <c r="G267" s="25"/>
      <c r="H267" s="95"/>
      <c r="I267" s="95"/>
      <c r="J267" s="95"/>
      <c r="K267" s="95"/>
      <c r="L267" s="95"/>
      <c r="M267" s="95"/>
      <c r="N267" s="95"/>
      <c r="O267" s="95"/>
      <c r="P267" s="34">
        <f>SUM(P258:P265)</f>
        <v>0</v>
      </c>
      <c r="Q267" s="94">
        <f>SUM(Q258:Q265)</f>
        <v>0</v>
      </c>
      <c r="R267" s="53">
        <f>SUM(R258:R265)</f>
        <v>0</v>
      </c>
      <c r="S267" s="133">
        <f>SUM(S258:S265)</f>
        <v>0</v>
      </c>
      <c r="T267" s="25"/>
      <c r="U267" s="25"/>
      <c r="V267" s="5"/>
    </row>
    <row r="268" spans="1:22" x14ac:dyDescent="0.35">
      <c r="A268" s="24"/>
      <c r="B268" s="25"/>
      <c r="C268" s="25"/>
      <c r="D268" s="25"/>
      <c r="E268" s="25"/>
      <c r="F268" s="25"/>
      <c r="G268" s="25"/>
      <c r="H268" s="95"/>
      <c r="I268" s="95"/>
      <c r="J268" s="95"/>
      <c r="K268" s="95"/>
      <c r="L268" s="95"/>
      <c r="M268" s="95"/>
      <c r="N268" s="95"/>
      <c r="O268" s="95"/>
      <c r="P268" s="34"/>
      <c r="Q268" s="133"/>
      <c r="R268" s="53"/>
      <c r="S268" s="133"/>
      <c r="T268" s="25"/>
      <c r="U268" s="25"/>
      <c r="V268" s="5"/>
    </row>
    <row r="269" spans="1:22" x14ac:dyDescent="0.35">
      <c r="A269" s="24"/>
      <c r="B269" s="143" t="s">
        <v>174</v>
      </c>
      <c r="C269" s="25"/>
      <c r="D269" s="25"/>
      <c r="E269" s="25"/>
      <c r="F269" s="25"/>
      <c r="G269" s="25"/>
      <c r="H269" s="95"/>
      <c r="I269" s="95"/>
      <c r="J269" s="95"/>
      <c r="K269" s="95"/>
      <c r="L269" s="95"/>
      <c r="M269" s="95"/>
      <c r="N269" s="95"/>
      <c r="O269" s="95"/>
      <c r="P269" s="162">
        <f>P267+P255+P243</f>
        <v>6601</v>
      </c>
      <c r="Q269" s="144"/>
      <c r="R269" s="145">
        <f>+R267+R255+R243</f>
        <v>886406</v>
      </c>
      <c r="S269" s="144"/>
      <c r="T269" s="25"/>
      <c r="U269" s="25"/>
      <c r="V269" s="5"/>
    </row>
    <row r="270" spans="1:22" x14ac:dyDescent="0.35">
      <c r="A270" s="24"/>
      <c r="B270" s="25"/>
      <c r="C270" s="25"/>
      <c r="D270" s="25"/>
      <c r="E270" s="25"/>
      <c r="F270" s="25"/>
      <c r="G270" s="25"/>
      <c r="H270" s="95"/>
      <c r="I270" s="95"/>
      <c r="J270" s="95"/>
      <c r="K270" s="95"/>
      <c r="L270" s="95"/>
      <c r="M270" s="95"/>
      <c r="N270" s="95"/>
      <c r="O270" s="95"/>
      <c r="P270" s="95"/>
      <c r="Q270" s="95"/>
      <c r="R270" s="53"/>
      <c r="S270" s="95"/>
      <c r="T270" s="25"/>
      <c r="U270" s="25"/>
      <c r="V270" s="5"/>
    </row>
    <row r="271" spans="1:22" x14ac:dyDescent="0.35">
      <c r="A271" s="6"/>
      <c r="B271" s="8"/>
      <c r="C271" s="8"/>
      <c r="D271" s="8"/>
      <c r="E271" s="8"/>
      <c r="F271" s="8"/>
      <c r="G271" s="8"/>
      <c r="H271" s="96"/>
      <c r="I271" s="96"/>
      <c r="J271" s="96"/>
      <c r="K271" s="96"/>
      <c r="L271" s="96"/>
      <c r="M271" s="96"/>
      <c r="N271" s="96"/>
      <c r="O271" s="96"/>
      <c r="P271" s="96"/>
      <c r="Q271" s="96"/>
      <c r="R271" s="97"/>
      <c r="S271" s="96"/>
      <c r="T271" s="8"/>
      <c r="U271" s="8"/>
      <c r="V271" s="5"/>
    </row>
    <row r="272" spans="1:22" x14ac:dyDescent="0.35">
      <c r="A272" s="168"/>
      <c r="B272" s="14" t="s">
        <v>95</v>
      </c>
      <c r="C272" s="15"/>
      <c r="D272" s="15"/>
      <c r="E272" s="15"/>
      <c r="F272" s="17" t="s">
        <v>101</v>
      </c>
      <c r="G272" s="15"/>
      <c r="H272" s="14" t="s">
        <v>103</v>
      </c>
      <c r="I272" s="163"/>
      <c r="J272" s="163"/>
      <c r="K272" s="163"/>
      <c r="L272" s="163"/>
      <c r="M272" s="163"/>
      <c r="N272" s="163"/>
      <c r="O272" s="163"/>
      <c r="P272" s="163"/>
      <c r="Q272" s="163"/>
      <c r="R272" s="163"/>
      <c r="S272" s="163"/>
      <c r="T272" s="163"/>
      <c r="U272" s="163"/>
      <c r="V272" s="5"/>
    </row>
    <row r="273" spans="1:22" x14ac:dyDescent="0.35">
      <c r="A273" s="168"/>
      <c r="B273" s="13" t="s">
        <v>96</v>
      </c>
      <c r="C273" s="8"/>
      <c r="D273" s="8"/>
      <c r="E273" s="8"/>
      <c r="F273" s="131" t="s">
        <v>155</v>
      </c>
      <c r="G273" s="8"/>
      <c r="H273" s="13" t="s">
        <v>160</v>
      </c>
      <c r="I273" s="163"/>
      <c r="J273" s="163"/>
      <c r="K273" s="163"/>
      <c r="L273" s="163"/>
      <c r="M273" s="163"/>
      <c r="N273" s="163"/>
      <c r="O273" s="163"/>
      <c r="P273" s="163"/>
      <c r="Q273" s="163"/>
      <c r="R273" s="163"/>
      <c r="S273" s="163"/>
      <c r="T273" s="163"/>
      <c r="U273" s="163"/>
      <c r="V273" s="5"/>
    </row>
    <row r="274" spans="1:22" x14ac:dyDescent="0.35">
      <c r="A274" s="168"/>
      <c r="B274" s="13" t="s">
        <v>277</v>
      </c>
      <c r="C274" s="13"/>
      <c r="D274" s="13"/>
      <c r="E274" s="13"/>
      <c r="F274" s="131" t="s">
        <v>278</v>
      </c>
      <c r="G274" s="13"/>
      <c r="H274" s="13" t="s">
        <v>279</v>
      </c>
      <c r="I274" s="163"/>
      <c r="J274" s="163"/>
      <c r="K274" s="163"/>
      <c r="L274" s="163"/>
      <c r="M274" s="163"/>
      <c r="N274" s="163"/>
      <c r="O274" s="163"/>
      <c r="P274" s="163"/>
      <c r="Q274" s="163"/>
      <c r="R274" s="163"/>
      <c r="S274" s="163"/>
      <c r="T274" s="163"/>
      <c r="U274" s="163"/>
      <c r="V274" s="5"/>
    </row>
    <row r="275" spans="1:22" x14ac:dyDescent="0.35">
      <c r="A275" s="168"/>
      <c r="B275" s="13" t="s">
        <v>97</v>
      </c>
      <c r="C275" s="13"/>
      <c r="D275" s="13"/>
      <c r="E275" s="13"/>
      <c r="F275" s="131" t="s">
        <v>154</v>
      </c>
      <c r="G275" s="13"/>
      <c r="H275" s="13" t="s">
        <v>161</v>
      </c>
      <c r="I275" s="163"/>
      <c r="J275" s="163"/>
      <c r="K275" s="163"/>
      <c r="L275" s="163"/>
      <c r="M275" s="163"/>
      <c r="N275" s="163"/>
      <c r="O275" s="163"/>
      <c r="P275" s="163"/>
      <c r="Q275" s="163"/>
      <c r="R275" s="163"/>
      <c r="S275" s="163"/>
      <c r="T275" s="163"/>
      <c r="U275" s="163"/>
      <c r="V275" s="5"/>
    </row>
    <row r="276" spans="1:22" x14ac:dyDescent="0.35">
      <c r="A276" s="168"/>
      <c r="B276" s="13"/>
      <c r="C276" s="13"/>
      <c r="D276" s="13"/>
      <c r="E276" s="13"/>
      <c r="F276" s="13"/>
      <c r="G276" s="99"/>
      <c r="H276" s="163"/>
      <c r="I276" s="163"/>
      <c r="J276" s="163"/>
      <c r="K276" s="163"/>
      <c r="L276" s="163"/>
      <c r="M276" s="163"/>
      <c r="N276" s="163"/>
      <c r="O276" s="163"/>
      <c r="P276" s="163"/>
      <c r="Q276" s="163"/>
      <c r="R276" s="163"/>
      <c r="S276" s="163"/>
      <c r="T276" s="163"/>
      <c r="U276" s="163"/>
      <c r="V276" s="5"/>
    </row>
    <row r="277" spans="1:22" x14ac:dyDescent="0.35">
      <c r="A277" s="168"/>
      <c r="B277" s="13"/>
      <c r="C277" s="13"/>
      <c r="D277" s="13"/>
      <c r="E277" s="13"/>
      <c r="F277" s="13"/>
      <c r="G277" s="99"/>
      <c r="H277" s="163"/>
      <c r="I277" s="163"/>
      <c r="J277" s="163"/>
      <c r="K277" s="163"/>
      <c r="L277" s="163"/>
      <c r="M277" s="163"/>
      <c r="N277" s="163"/>
      <c r="O277" s="163"/>
      <c r="P277" s="163"/>
      <c r="Q277" s="163"/>
      <c r="R277" s="163"/>
      <c r="S277" s="163"/>
      <c r="T277" s="163"/>
      <c r="U277" s="163"/>
      <c r="V277" s="5"/>
    </row>
    <row r="278" spans="1:22" ht="18" thickBot="1" x14ac:dyDescent="0.4">
      <c r="A278" s="168"/>
      <c r="B278" s="49" t="str">
        <f>B195</f>
        <v>PM10 INVESTOR REPORT QUARTER ENDING MAY 2007</v>
      </c>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00"/>
      <c r="B279" s="100"/>
      <c r="C279" s="100"/>
      <c r="D279" s="100"/>
      <c r="E279" s="100"/>
      <c r="F279" s="100"/>
      <c r="G279" s="100"/>
      <c r="H279" s="100"/>
      <c r="I279" s="100"/>
      <c r="J279" s="100"/>
      <c r="K279" s="100"/>
      <c r="L279" s="100"/>
      <c r="M279" s="100"/>
      <c r="N279" s="100"/>
      <c r="O279" s="100"/>
      <c r="P279" s="100"/>
      <c r="Q279" s="100"/>
      <c r="R279" s="100"/>
      <c r="S279" s="100"/>
      <c r="T279" s="100"/>
      <c r="U279" s="100"/>
    </row>
  </sheetData>
  <phoneticPr fontId="0" type="noConversion"/>
  <hyperlinks>
    <hyperlink ref="J9" r:id="rId1" xr:uid="{00000000-0004-0000-0500-000000000000}"/>
    <hyperlink ref="N231" r:id="rId2" xr:uid="{00000000-0004-0000-0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5" max="14" man="1"/>
    <brk id="195"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2D2926"/>
  </sheetPr>
  <dimension ref="A1:W280"/>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0.51900000000000002</v>
      </c>
      <c r="R16" s="17" t="s">
        <v>147</v>
      </c>
      <c r="S16" s="138">
        <v>0.48099999999999998</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39349</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901390.16</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787230.73</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517148.84037759999</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886405.84037759993</v>
      </c>
      <c r="U35" s="34"/>
      <c r="V35" s="5"/>
    </row>
    <row r="36" spans="1:22" x14ac:dyDescent="0.35">
      <c r="A36" s="28"/>
      <c r="B36" s="29" t="s">
        <v>298</v>
      </c>
      <c r="C36" s="126"/>
      <c r="D36" s="35">
        <f>D37*D34</f>
        <v>451652.87707280001</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820909.87707279995</v>
      </c>
      <c r="U36" s="34"/>
      <c r="V36" s="5"/>
    </row>
    <row r="37" spans="1:22" x14ac:dyDescent="0.35">
      <c r="A37" s="24"/>
      <c r="B37" s="122" t="s">
        <v>137</v>
      </c>
      <c r="C37" s="25"/>
      <c r="D37" s="170">
        <v>0.71566430000000003</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0.8194456</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270</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5.5912499999999997E-2</v>
      </c>
      <c r="E40" s="25"/>
      <c r="F40" s="38">
        <v>6.0100000000000001E-2</v>
      </c>
      <c r="G40" s="39"/>
      <c r="H40" s="38">
        <v>4.3049999999999998E-2</v>
      </c>
      <c r="I40" s="39"/>
      <c r="J40" s="38">
        <v>6.1199999999999997E-2</v>
      </c>
      <c r="K40" s="39"/>
      <c r="L40" s="38">
        <v>4.4150000000000002E-2</v>
      </c>
      <c r="M40" s="39"/>
      <c r="N40" s="38">
        <v>6.4000000000000001E-2</v>
      </c>
      <c r="O40" s="39"/>
      <c r="P40" s="38">
        <v>4.6949999999999999E-2</v>
      </c>
      <c r="Q40" s="39"/>
      <c r="R40" s="38"/>
      <c r="S40" s="164"/>
      <c r="T40" s="30"/>
      <c r="U40" s="25"/>
      <c r="V40" s="5"/>
    </row>
    <row r="41" spans="1:22" x14ac:dyDescent="0.35">
      <c r="A41" s="24"/>
      <c r="B41" s="25" t="s">
        <v>13</v>
      </c>
      <c r="C41" s="25"/>
      <c r="D41" s="38">
        <v>5.2999999999999999E-2</v>
      </c>
      <c r="E41" s="25"/>
      <c r="F41" s="38">
        <v>5.6887500000000001E-2</v>
      </c>
      <c r="G41" s="39"/>
      <c r="H41" s="38">
        <v>4.0489999999999998E-2</v>
      </c>
      <c r="I41" s="39"/>
      <c r="J41" s="38">
        <v>5.7987499999999997E-2</v>
      </c>
      <c r="K41" s="39"/>
      <c r="L41" s="38">
        <v>4.1590000000000002E-2</v>
      </c>
      <c r="M41" s="39"/>
      <c r="N41" s="38">
        <v>6.0787500000000001E-2</v>
      </c>
      <c r="O41" s="39"/>
      <c r="P41" s="38">
        <v>4.4389999999999999E-2</v>
      </c>
      <c r="Q41" s="39"/>
      <c r="R41" s="38"/>
      <c r="S41" s="164"/>
      <c r="T41" s="39" t="s">
        <v>226</v>
      </c>
      <c r="U41" s="25"/>
      <c r="V41" s="5"/>
    </row>
    <row r="42" spans="1:22" x14ac:dyDescent="0.35">
      <c r="A42" s="24"/>
      <c r="B42" s="25" t="s">
        <v>299</v>
      </c>
      <c r="C42" s="25"/>
      <c r="D42" s="30" t="s">
        <v>237</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5.8540200000000001E-2</v>
      </c>
      <c r="E43" s="25"/>
      <c r="F43" s="38">
        <f>+F40</f>
        <v>6.0100000000000001E-2</v>
      </c>
      <c r="G43" s="39"/>
      <c r="H43" s="38">
        <v>6.0324999999999997E-2</v>
      </c>
      <c r="I43" s="39"/>
      <c r="J43" s="38">
        <f>+J40</f>
        <v>6.1199999999999997E-2</v>
      </c>
      <c r="K43" s="39"/>
      <c r="L43" s="38">
        <v>6.1565000000000002E-2</v>
      </c>
      <c r="M43" s="39"/>
      <c r="N43" s="38">
        <f>+N40</f>
        <v>6.4000000000000001E-2</v>
      </c>
      <c r="O43" s="39"/>
      <c r="P43" s="38">
        <v>6.4615000000000006E-2</v>
      </c>
      <c r="Q43" s="30"/>
      <c r="R43" s="30"/>
      <c r="S43" s="164"/>
      <c r="T43" s="39">
        <f>SUMPRODUCT(D43:P43,D35:P35)/T35</f>
        <v>5.9609533120815426E-2</v>
      </c>
      <c r="U43" s="25"/>
      <c r="V43" s="5"/>
    </row>
    <row r="44" spans="1:22" x14ac:dyDescent="0.35">
      <c r="A44" s="24"/>
      <c r="B44" s="25" t="s">
        <v>301</v>
      </c>
      <c r="C44" s="110"/>
      <c r="D44" s="38">
        <v>5.53277E-2</v>
      </c>
      <c r="E44" s="25"/>
      <c r="F44" s="38">
        <f>+F41</f>
        <v>5.6887500000000001E-2</v>
      </c>
      <c r="G44" s="39"/>
      <c r="H44" s="38">
        <v>5.7112499999999997E-2</v>
      </c>
      <c r="I44" s="39"/>
      <c r="J44" s="38">
        <f>+J41</f>
        <v>5.7987499999999997E-2</v>
      </c>
      <c r="K44" s="39"/>
      <c r="L44" s="38">
        <v>5.8352500000000002E-2</v>
      </c>
      <c r="M44" s="39"/>
      <c r="N44" s="38">
        <f>+N41</f>
        <v>6.0787500000000001E-2</v>
      </c>
      <c r="O44" s="39"/>
      <c r="P44" s="38">
        <v>6.1402499999999999E-2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0.16168758906535827</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39342</v>
      </c>
      <c r="U56" s="25"/>
      <c r="V56" s="5"/>
    </row>
    <row r="57" spans="1:23" x14ac:dyDescent="0.35">
      <c r="A57" s="24"/>
      <c r="B57" s="25" t="s">
        <v>128</v>
      </c>
      <c r="C57" s="25"/>
      <c r="D57" s="25"/>
      <c r="E57" s="25"/>
      <c r="F57" s="25"/>
      <c r="G57" s="25"/>
      <c r="H57" s="58"/>
      <c r="I57" s="58"/>
      <c r="J57" s="58"/>
      <c r="K57" s="58"/>
      <c r="L57" s="58"/>
      <c r="M57" s="58"/>
      <c r="N57" s="58"/>
      <c r="O57" s="58"/>
      <c r="P57" s="25">
        <f>+T57-R57+1</f>
        <v>92</v>
      </c>
      <c r="Q57" s="25"/>
      <c r="R57" s="45">
        <v>39156</v>
      </c>
      <c r="S57" s="46"/>
      <c r="T57" s="45">
        <v>39247</v>
      </c>
      <c r="U57" s="25"/>
      <c r="V57" s="5"/>
    </row>
    <row r="58" spans="1:23" x14ac:dyDescent="0.35">
      <c r="A58" s="24"/>
      <c r="B58" s="25" t="s">
        <v>129</v>
      </c>
      <c r="C58" s="25"/>
      <c r="D58" s="25"/>
      <c r="E58" s="25"/>
      <c r="F58" s="25"/>
      <c r="G58" s="25"/>
      <c r="H58" s="25"/>
      <c r="I58" s="25"/>
      <c r="J58" s="25"/>
      <c r="K58" s="25"/>
      <c r="L58" s="25"/>
      <c r="M58" s="25"/>
      <c r="N58" s="25"/>
      <c r="O58" s="25"/>
      <c r="P58" s="25">
        <f>+T58-R58+1</f>
        <v>94</v>
      </c>
      <c r="Q58" s="25"/>
      <c r="R58" s="45">
        <v>39248</v>
      </c>
      <c r="S58" s="46"/>
      <c r="T58" s="45">
        <v>39341</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39328</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276</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886406</v>
      </c>
      <c r="M69" s="34"/>
      <c r="N69" s="34">
        <f>65496+2718+1750</f>
        <v>69964</v>
      </c>
      <c r="O69" s="34"/>
      <c r="P69" s="34">
        <f>2718+1750</f>
        <v>4468</v>
      </c>
      <c r="Q69" s="34"/>
      <c r="R69" s="34">
        <v>0</v>
      </c>
      <c r="S69" s="34"/>
      <c r="T69" s="53">
        <f>+L69-N69+P69-R69</f>
        <v>820910</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886406</v>
      </c>
      <c r="M72" s="34"/>
      <c r="N72" s="34">
        <f>SUM(N69:N71)</f>
        <v>69964</v>
      </c>
      <c r="O72" s="34"/>
      <c r="P72" s="34">
        <f>SUM(P69:P71)</f>
        <v>4468</v>
      </c>
      <c r="Q72" s="34"/>
      <c r="R72" s="34">
        <f>SUM(R69:R71)</f>
        <v>0</v>
      </c>
      <c r="S72" s="34"/>
      <c r="T72" s="54">
        <f>SUM(T69:T71)</f>
        <v>820910</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886406</v>
      </c>
      <c r="M85" s="34"/>
      <c r="N85" s="34"/>
      <c r="O85" s="34"/>
      <c r="P85" s="34"/>
      <c r="Q85" s="34"/>
      <c r="R85" s="54"/>
      <c r="S85" s="34"/>
      <c r="T85" s="54">
        <f>SUM(T72:T84)</f>
        <v>820910</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+R196</f>
        <v>39325</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v>69924</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7376+6268-743-690</f>
        <v>12211</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337+738</f>
        <v>1075</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740</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1602</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686</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69924</v>
      </c>
      <c r="S97" s="25"/>
      <c r="T97" s="54">
        <f>SUM(T89:T96)</f>
        <v>16314</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-150</v>
      </c>
      <c r="S98" s="25"/>
      <c r="T98" s="54">
        <v>150</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32</v>
      </c>
      <c r="C100" s="25"/>
      <c r="D100" s="25"/>
      <c r="E100" s="25"/>
      <c r="F100" s="25"/>
      <c r="G100" s="25"/>
      <c r="H100" s="25"/>
      <c r="I100" s="25"/>
      <c r="J100" s="25"/>
      <c r="K100" s="25"/>
      <c r="L100" s="25"/>
      <c r="M100" s="25"/>
      <c r="N100" s="25"/>
      <c r="O100" s="25"/>
      <c r="P100" s="25"/>
      <c r="Q100" s="25"/>
      <c r="R100" s="34">
        <f>R97+R99+R98</f>
        <v>69774</v>
      </c>
      <c r="S100" s="25"/>
      <c r="T100" s="54">
        <f>T97+T99+T98</f>
        <v>16464</v>
      </c>
      <c r="U100" s="25"/>
      <c r="V100" s="5"/>
    </row>
    <row r="101" spans="1:23" x14ac:dyDescent="0.35">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3" x14ac:dyDescent="0.35">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3" x14ac:dyDescent="0.35">
      <c r="A103" s="24">
        <f>+A102+1</f>
        <v>2</v>
      </c>
      <c r="B103" s="25" t="s">
        <v>35</v>
      </c>
      <c r="C103" s="25"/>
      <c r="D103" s="25"/>
      <c r="E103" s="25"/>
      <c r="F103" s="25"/>
      <c r="G103" s="25"/>
      <c r="H103" s="25"/>
      <c r="I103" s="25"/>
      <c r="J103" s="25"/>
      <c r="K103" s="25"/>
      <c r="L103" s="25"/>
      <c r="M103" s="25"/>
      <c r="N103" s="25"/>
      <c r="O103" s="25"/>
      <c r="P103" s="25"/>
      <c r="Q103" s="25"/>
      <c r="R103" s="25"/>
      <c r="S103" s="25"/>
      <c r="T103" s="53">
        <v>-2</v>
      </c>
      <c r="U103" s="25"/>
      <c r="V103" s="5"/>
    </row>
    <row r="104" spans="1:23" x14ac:dyDescent="0.35">
      <c r="A104" s="24">
        <f>+A103+1</f>
        <v>3</v>
      </c>
      <c r="B104" s="25" t="s">
        <v>246</v>
      </c>
      <c r="C104" s="25"/>
      <c r="D104" s="25"/>
      <c r="E104" s="25"/>
      <c r="F104" s="25"/>
      <c r="G104" s="25"/>
      <c r="H104" s="25"/>
      <c r="I104" s="25"/>
      <c r="J104" s="25"/>
      <c r="K104" s="25"/>
      <c r="L104" s="25"/>
      <c r="M104" s="25"/>
      <c r="N104" s="25"/>
      <c r="O104" s="25"/>
      <c r="P104" s="25"/>
      <c r="Q104" s="25"/>
      <c r="R104" s="25"/>
      <c r="S104" s="25"/>
      <c r="T104" s="53">
        <f>-336-21-12</f>
        <v>-369</v>
      </c>
      <c r="U104" s="25"/>
      <c r="V104" s="5"/>
    </row>
    <row r="105" spans="1:23" x14ac:dyDescent="0.35">
      <c r="A105" s="24" t="s">
        <v>134</v>
      </c>
      <c r="B105" s="25" t="s">
        <v>123</v>
      </c>
      <c r="C105" s="25"/>
      <c r="D105" s="25"/>
      <c r="E105" s="25"/>
      <c r="F105" s="25"/>
      <c r="G105" s="25"/>
      <c r="H105" s="25"/>
      <c r="I105" s="25"/>
      <c r="J105" s="25"/>
      <c r="K105" s="25"/>
      <c r="L105" s="25"/>
      <c r="M105" s="25"/>
      <c r="N105" s="25"/>
      <c r="O105" s="25"/>
      <c r="P105" s="25"/>
      <c r="Q105" s="25"/>
      <c r="R105" s="25"/>
      <c r="S105" s="25"/>
      <c r="T105" s="53">
        <v>0</v>
      </c>
      <c r="U105" s="25"/>
      <c r="V105" s="5"/>
    </row>
    <row r="106" spans="1:23" x14ac:dyDescent="0.35">
      <c r="A106" s="24" t="s">
        <v>135</v>
      </c>
      <c r="B106" s="25" t="s">
        <v>169</v>
      </c>
      <c r="C106" s="25"/>
      <c r="D106" s="25"/>
      <c r="E106" s="25"/>
      <c r="F106" s="25"/>
      <c r="G106" s="25"/>
      <c r="H106" s="25"/>
      <c r="I106" s="25"/>
      <c r="J106" s="25"/>
      <c r="K106" s="25"/>
      <c r="L106" s="25"/>
      <c r="M106" s="25"/>
      <c r="N106" s="25"/>
      <c r="O106" s="25"/>
      <c r="P106" s="25"/>
      <c r="Q106" s="25"/>
      <c r="R106" s="25"/>
      <c r="S106" s="25"/>
      <c r="T106" s="53">
        <v>-1</v>
      </c>
      <c r="U106" s="25"/>
      <c r="V106" s="5"/>
    </row>
    <row r="107" spans="1:23" x14ac:dyDescent="0.35">
      <c r="A107" s="24" t="s">
        <v>157</v>
      </c>
      <c r="B107" s="25" t="s">
        <v>217</v>
      </c>
      <c r="C107" s="25"/>
      <c r="D107" s="25"/>
      <c r="E107" s="25"/>
      <c r="F107" s="25"/>
      <c r="G107" s="25"/>
      <c r="H107" s="25"/>
      <c r="I107" s="25"/>
      <c r="J107" s="25"/>
      <c r="K107" s="25"/>
      <c r="L107" s="25"/>
      <c r="M107" s="25"/>
      <c r="N107" s="25"/>
      <c r="O107" s="25"/>
      <c r="P107" s="25"/>
      <c r="Q107" s="25"/>
      <c r="R107" s="25"/>
      <c r="S107" s="25"/>
      <c r="T107" s="53">
        <v>-10127</v>
      </c>
      <c r="U107" s="25"/>
      <c r="V107" s="169"/>
      <c r="W107" s="109"/>
    </row>
    <row r="108" spans="1:23" x14ac:dyDescent="0.35">
      <c r="A108" s="24" t="s">
        <v>158</v>
      </c>
      <c r="B108" s="25" t="s">
        <v>213</v>
      </c>
      <c r="C108" s="25"/>
      <c r="D108" s="25"/>
      <c r="E108" s="25"/>
      <c r="F108" s="25"/>
      <c r="G108" s="25"/>
      <c r="H108" s="25"/>
      <c r="I108" s="25"/>
      <c r="J108" s="25"/>
      <c r="K108" s="25"/>
      <c r="L108" s="25"/>
      <c r="M108" s="25"/>
      <c r="N108" s="25"/>
      <c r="O108" s="25"/>
      <c r="P108" s="25"/>
      <c r="Q108" s="25"/>
      <c r="R108" s="25"/>
      <c r="S108" s="25"/>
      <c r="T108" s="53">
        <v>-1625</v>
      </c>
      <c r="U108" s="25"/>
      <c r="V108" s="5"/>
      <c r="W108" s="109"/>
    </row>
    <row r="109" spans="1:23" x14ac:dyDescent="0.35">
      <c r="A109" s="24" t="s">
        <v>247</v>
      </c>
      <c r="B109" s="25" t="s">
        <v>214</v>
      </c>
      <c r="C109" s="25"/>
      <c r="D109" s="25"/>
      <c r="E109" s="25"/>
      <c r="F109" s="25"/>
      <c r="G109" s="25"/>
      <c r="H109" s="25"/>
      <c r="I109" s="25"/>
      <c r="J109" s="25"/>
      <c r="K109" s="25"/>
      <c r="L109" s="25"/>
      <c r="M109" s="25"/>
      <c r="N109" s="25"/>
      <c r="O109" s="25"/>
      <c r="P109" s="25"/>
      <c r="Q109" s="25"/>
      <c r="R109" s="25"/>
      <c r="S109" s="25"/>
      <c r="T109" s="53">
        <v>-209</v>
      </c>
      <c r="U109" s="25"/>
      <c r="V109" s="5"/>
      <c r="W109" s="109"/>
    </row>
    <row r="110" spans="1:23" x14ac:dyDescent="0.35">
      <c r="A110" s="24" t="s">
        <v>248</v>
      </c>
      <c r="B110" s="25" t="s">
        <v>215</v>
      </c>
      <c r="C110" s="25"/>
      <c r="D110" s="25"/>
      <c r="E110" s="25"/>
      <c r="F110" s="25"/>
      <c r="G110" s="25"/>
      <c r="H110" s="25"/>
      <c r="I110" s="25"/>
      <c r="J110" s="25"/>
      <c r="K110" s="25"/>
      <c r="L110" s="25"/>
      <c r="M110" s="25"/>
      <c r="N110" s="25"/>
      <c r="O110" s="25"/>
      <c r="P110" s="25"/>
      <c r="Q110" s="25"/>
      <c r="R110" s="25"/>
      <c r="S110" s="25"/>
      <c r="T110" s="53">
        <v>-488</v>
      </c>
      <c r="U110" s="25"/>
      <c r="V110" s="5"/>
      <c r="W110" s="109"/>
    </row>
    <row r="111" spans="1:23" x14ac:dyDescent="0.35">
      <c r="A111" s="24" t="s">
        <v>249</v>
      </c>
      <c r="B111" s="25" t="s">
        <v>230</v>
      </c>
      <c r="C111" s="25"/>
      <c r="D111" s="25"/>
      <c r="E111" s="25"/>
      <c r="F111" s="25"/>
      <c r="G111" s="25"/>
      <c r="H111" s="25"/>
      <c r="I111" s="25"/>
      <c r="J111" s="25"/>
      <c r="K111" s="25"/>
      <c r="L111" s="25"/>
      <c r="M111" s="25"/>
      <c r="N111" s="25"/>
      <c r="O111" s="25"/>
      <c r="P111" s="25"/>
      <c r="Q111" s="25"/>
      <c r="R111" s="25"/>
      <c r="S111" s="25"/>
      <c r="T111" s="53">
        <v>-309</v>
      </c>
      <c r="U111" s="25"/>
      <c r="V111" s="5"/>
      <c r="W111" s="109"/>
    </row>
    <row r="112" spans="1:23" x14ac:dyDescent="0.35">
      <c r="A112" s="24" t="s">
        <v>250</v>
      </c>
      <c r="B112" s="25" t="s">
        <v>216</v>
      </c>
      <c r="C112" s="25"/>
      <c r="D112" s="25"/>
      <c r="E112" s="25"/>
      <c r="F112" s="25"/>
      <c r="G112" s="25"/>
      <c r="H112" s="25"/>
      <c r="I112" s="25"/>
      <c r="J112" s="25"/>
      <c r="K112" s="25"/>
      <c r="L112" s="25"/>
      <c r="M112" s="25"/>
      <c r="N112" s="25"/>
      <c r="O112" s="25"/>
      <c r="P112" s="25"/>
      <c r="Q112" s="25"/>
      <c r="R112" s="25"/>
      <c r="S112" s="25"/>
      <c r="T112" s="53">
        <v>-849</v>
      </c>
      <c r="U112" s="25"/>
      <c r="V112" s="5"/>
      <c r="W112" s="109"/>
    </row>
    <row r="113" spans="1:22" x14ac:dyDescent="0.35">
      <c r="A113" s="24">
        <v>7</v>
      </c>
      <c r="B113" s="25" t="s">
        <v>36</v>
      </c>
      <c r="C113" s="25"/>
      <c r="D113" s="25"/>
      <c r="E113" s="25"/>
      <c r="F113" s="25"/>
      <c r="G113" s="25"/>
      <c r="H113" s="25"/>
      <c r="I113" s="25"/>
      <c r="J113" s="25"/>
      <c r="K113" s="25"/>
      <c r="L113" s="25"/>
      <c r="M113" s="25"/>
      <c r="N113" s="25"/>
      <c r="O113" s="25"/>
      <c r="P113" s="25"/>
      <c r="Q113" s="25"/>
      <c r="R113" s="25"/>
      <c r="S113" s="25"/>
      <c r="T113" s="53">
        <v>-13</v>
      </c>
      <c r="U113" s="25"/>
      <c r="V113" s="5"/>
    </row>
    <row r="114" spans="1:22" x14ac:dyDescent="0.35">
      <c r="A114" s="24">
        <f t="shared" ref="A114:A119" si="0">+A113+1</f>
        <v>8</v>
      </c>
      <c r="B114" s="25" t="s">
        <v>47</v>
      </c>
      <c r="C114" s="25"/>
      <c r="D114" s="25"/>
      <c r="E114" s="25"/>
      <c r="F114" s="25"/>
      <c r="G114" s="25"/>
      <c r="H114" s="25"/>
      <c r="I114" s="25"/>
      <c r="J114" s="25"/>
      <c r="K114" s="25"/>
      <c r="L114" s="25"/>
      <c r="M114" s="25"/>
      <c r="N114" s="25"/>
      <c r="O114" s="25"/>
      <c r="P114" s="25"/>
      <c r="Q114" s="25"/>
      <c r="R114" s="34">
        <f>-T114</f>
        <v>40</v>
      </c>
      <c r="S114" s="25"/>
      <c r="T114" s="53">
        <v>-40</v>
      </c>
      <c r="U114" s="25"/>
      <c r="V114" s="5"/>
    </row>
    <row r="115" spans="1:22" x14ac:dyDescent="0.35">
      <c r="A115" s="24">
        <f t="shared" si="0"/>
        <v>9</v>
      </c>
      <c r="B115" s="25" t="s">
        <v>132</v>
      </c>
      <c r="C115" s="25"/>
      <c r="D115" s="25"/>
      <c r="E115" s="25"/>
      <c r="F115" s="25"/>
      <c r="G115" s="25"/>
      <c r="H115" s="25"/>
      <c r="I115" s="25"/>
      <c r="J115" s="25"/>
      <c r="K115" s="25"/>
      <c r="L115" s="25"/>
      <c r="M115" s="25"/>
      <c r="N115" s="25"/>
      <c r="O115" s="25"/>
      <c r="P115" s="25"/>
      <c r="Q115" s="25"/>
      <c r="R115" s="25"/>
      <c r="S115" s="25"/>
      <c r="T115" s="53">
        <v>0</v>
      </c>
      <c r="U115" s="25"/>
      <c r="V115" s="5"/>
    </row>
    <row r="116" spans="1:22" x14ac:dyDescent="0.35">
      <c r="A116" s="24">
        <f t="shared" si="0"/>
        <v>10</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x14ac:dyDescent="0.35">
      <c r="A117" s="24">
        <f t="shared" si="0"/>
        <v>11</v>
      </c>
      <c r="B117" s="25" t="s">
        <v>38</v>
      </c>
      <c r="C117" s="25"/>
      <c r="D117" s="25"/>
      <c r="E117" s="25"/>
      <c r="F117" s="25"/>
      <c r="G117" s="25"/>
      <c r="H117" s="25"/>
      <c r="I117" s="25"/>
      <c r="J117" s="25"/>
      <c r="K117" s="25"/>
      <c r="L117" s="25"/>
      <c r="M117" s="25"/>
      <c r="N117" s="25"/>
      <c r="O117" s="25"/>
      <c r="P117" s="25"/>
      <c r="Q117" s="25"/>
      <c r="R117" s="25"/>
      <c r="S117" s="25"/>
      <c r="T117" s="53">
        <v>0</v>
      </c>
      <c r="U117" s="25"/>
      <c r="V117" s="5"/>
    </row>
    <row r="118" spans="1:22" x14ac:dyDescent="0.35">
      <c r="A118" s="24">
        <f t="shared" si="0"/>
        <v>12</v>
      </c>
      <c r="B118" s="25" t="s">
        <v>156</v>
      </c>
      <c r="C118" s="25"/>
      <c r="D118" s="25"/>
      <c r="E118" s="25"/>
      <c r="F118" s="25"/>
      <c r="G118" s="25"/>
      <c r="H118" s="25"/>
      <c r="I118" s="25"/>
      <c r="J118" s="25"/>
      <c r="K118" s="25"/>
      <c r="L118" s="25"/>
      <c r="M118" s="25"/>
      <c r="N118" s="25"/>
      <c r="O118" s="25"/>
      <c r="P118" s="25"/>
      <c r="Q118" s="25"/>
      <c r="R118" s="25"/>
      <c r="S118" s="25"/>
      <c r="T118" s="53">
        <v>-335</v>
      </c>
      <c r="U118" s="25"/>
      <c r="V118" s="5"/>
    </row>
    <row r="119" spans="1:22" x14ac:dyDescent="0.35">
      <c r="A119" s="24">
        <f t="shared" si="0"/>
        <v>13</v>
      </c>
      <c r="B119" s="25" t="s">
        <v>133</v>
      </c>
      <c r="C119" s="25"/>
      <c r="D119" s="25"/>
      <c r="E119" s="25"/>
      <c r="F119" s="25"/>
      <c r="G119" s="25"/>
      <c r="H119" s="25"/>
      <c r="I119" s="25"/>
      <c r="J119" s="25"/>
      <c r="K119" s="25"/>
      <c r="L119" s="25"/>
      <c r="M119" s="25"/>
      <c r="N119" s="25"/>
      <c r="O119" s="25"/>
      <c r="P119" s="25"/>
      <c r="Q119" s="25"/>
      <c r="R119" s="25"/>
      <c r="S119" s="25"/>
      <c r="T119" s="53">
        <f>-T100-SUM(T102:T118)</f>
        <v>-2097</v>
      </c>
      <c r="U119" s="25"/>
      <c r="V119" s="5"/>
    </row>
    <row r="120" spans="1:22" x14ac:dyDescent="0.35">
      <c r="A120" s="24"/>
      <c r="B120" s="118" t="s">
        <v>39</v>
      </c>
      <c r="C120" s="25"/>
      <c r="D120" s="25"/>
      <c r="E120" s="25"/>
      <c r="F120" s="25"/>
      <c r="G120" s="25"/>
      <c r="H120" s="25"/>
      <c r="I120" s="25"/>
      <c r="J120" s="25"/>
      <c r="K120" s="25"/>
      <c r="L120" s="25"/>
      <c r="M120" s="25"/>
      <c r="N120" s="25"/>
      <c r="O120" s="25"/>
      <c r="P120" s="25"/>
      <c r="Q120" s="25"/>
      <c r="R120" s="25"/>
      <c r="S120" s="25"/>
      <c r="T120" s="59"/>
      <c r="U120" s="25"/>
      <c r="V120" s="5"/>
    </row>
    <row r="121" spans="1:22" x14ac:dyDescent="0.35">
      <c r="A121" s="24"/>
      <c r="B121" s="25" t="s">
        <v>184</v>
      </c>
      <c r="C121" s="25"/>
      <c r="D121" s="25"/>
      <c r="E121" s="25"/>
      <c r="F121" s="25"/>
      <c r="G121" s="25"/>
      <c r="H121" s="25"/>
      <c r="I121" s="25"/>
      <c r="J121" s="25"/>
      <c r="K121" s="25"/>
      <c r="L121" s="25"/>
      <c r="M121" s="25"/>
      <c r="N121" s="25"/>
      <c r="O121" s="25"/>
      <c r="P121" s="25"/>
      <c r="Q121" s="25"/>
      <c r="R121" s="34">
        <f>-R180</f>
        <v>-133</v>
      </c>
      <c r="S121" s="34"/>
      <c r="T121" s="53"/>
      <c r="U121" s="25"/>
      <c r="V121" s="5"/>
    </row>
    <row r="122" spans="1:22" x14ac:dyDescent="0.35">
      <c r="A122" s="24"/>
      <c r="B122" s="25" t="s">
        <v>185</v>
      </c>
      <c r="C122" s="25"/>
      <c r="D122" s="25"/>
      <c r="E122" s="25"/>
      <c r="F122" s="25"/>
      <c r="G122" s="25"/>
      <c r="H122" s="25"/>
      <c r="I122" s="25"/>
      <c r="J122" s="25"/>
      <c r="K122" s="25"/>
      <c r="L122" s="25"/>
      <c r="M122" s="25"/>
      <c r="N122" s="25"/>
      <c r="O122" s="25"/>
      <c r="P122" s="25"/>
      <c r="Q122" s="25"/>
      <c r="R122" s="34">
        <v>-274</v>
      </c>
      <c r="S122" s="34"/>
      <c r="T122" s="53"/>
      <c r="U122" s="25"/>
      <c r="V122" s="5"/>
    </row>
    <row r="123" spans="1:22" x14ac:dyDescent="0.35">
      <c r="A123" s="24"/>
      <c r="B123" s="25" t="s">
        <v>40</v>
      </c>
      <c r="C123" s="25"/>
      <c r="D123" s="25"/>
      <c r="E123" s="25"/>
      <c r="F123" s="25"/>
      <c r="G123" s="25"/>
      <c r="H123" s="25"/>
      <c r="I123" s="25"/>
      <c r="J123" s="25"/>
      <c r="K123" s="25"/>
      <c r="L123" s="25"/>
      <c r="M123" s="25"/>
      <c r="N123" s="25"/>
      <c r="O123" s="25"/>
      <c r="P123" s="25"/>
      <c r="Q123" s="25"/>
      <c r="R123" s="34">
        <f>-Q180</f>
        <v>-3911</v>
      </c>
      <c r="S123" s="34"/>
      <c r="T123" s="53"/>
      <c r="U123" s="25"/>
      <c r="V123" s="5"/>
    </row>
    <row r="124" spans="1:22" x14ac:dyDescent="0.35">
      <c r="A124" s="24"/>
      <c r="B124" s="25" t="s">
        <v>231</v>
      </c>
      <c r="C124" s="25"/>
      <c r="D124" s="25"/>
      <c r="E124" s="25"/>
      <c r="F124" s="25"/>
      <c r="G124" s="25"/>
      <c r="H124" s="25"/>
      <c r="I124" s="25"/>
      <c r="J124" s="25"/>
      <c r="K124" s="25"/>
      <c r="L124" s="25"/>
      <c r="M124" s="25"/>
      <c r="N124" s="25"/>
      <c r="O124" s="25"/>
      <c r="P124" s="25"/>
      <c r="Q124" s="25"/>
      <c r="R124" s="34">
        <v>-65496</v>
      </c>
      <c r="S124" s="34"/>
      <c r="T124" s="53"/>
      <c r="U124" s="25"/>
      <c r="V124" s="5"/>
    </row>
    <row r="125" spans="1:22" x14ac:dyDescent="0.35">
      <c r="A125" s="24"/>
      <c r="B125" s="25" t="s">
        <v>229</v>
      </c>
      <c r="C125" s="25"/>
      <c r="D125" s="25"/>
      <c r="E125" s="25"/>
      <c r="F125" s="25"/>
      <c r="G125" s="25"/>
      <c r="H125" s="25"/>
      <c r="I125" s="25"/>
      <c r="J125" s="25"/>
      <c r="K125" s="25"/>
      <c r="L125" s="25"/>
      <c r="M125" s="25"/>
      <c r="N125" s="25"/>
      <c r="O125" s="25"/>
      <c r="P125" s="25"/>
      <c r="Q125" s="25"/>
      <c r="R125" s="34">
        <v>0</v>
      </c>
      <c r="S125" s="34"/>
      <c r="T125" s="53"/>
      <c r="U125" s="25"/>
      <c r="V125" s="5"/>
    </row>
    <row r="126" spans="1:22" x14ac:dyDescent="0.35">
      <c r="A126" s="24"/>
      <c r="B126" s="25" t="s">
        <v>228</v>
      </c>
      <c r="C126" s="25"/>
      <c r="D126" s="25"/>
      <c r="E126" s="25"/>
      <c r="F126" s="25"/>
      <c r="G126" s="25"/>
      <c r="H126" s="25"/>
      <c r="I126" s="25"/>
      <c r="J126" s="25"/>
      <c r="K126" s="25"/>
      <c r="L126" s="25"/>
      <c r="M126" s="25"/>
      <c r="N126" s="25"/>
      <c r="O126" s="25"/>
      <c r="P126" s="25"/>
      <c r="Q126" s="25"/>
      <c r="R126" s="34">
        <v>0</v>
      </c>
      <c r="S126" s="34"/>
      <c r="T126" s="53"/>
      <c r="U126" s="25"/>
      <c r="V126" s="5"/>
    </row>
    <row r="127" spans="1:22" x14ac:dyDescent="0.35">
      <c r="A127" s="24"/>
      <c r="B127" s="25" t="s">
        <v>221</v>
      </c>
      <c r="C127" s="25"/>
      <c r="D127" s="25"/>
      <c r="E127" s="25"/>
      <c r="F127" s="25"/>
      <c r="G127" s="25"/>
      <c r="H127" s="25"/>
      <c r="I127" s="25"/>
      <c r="J127" s="25"/>
      <c r="K127" s="25"/>
      <c r="L127" s="25"/>
      <c r="M127" s="25"/>
      <c r="N127" s="25"/>
      <c r="O127" s="25"/>
      <c r="P127" s="25"/>
      <c r="Q127" s="25"/>
      <c r="R127" s="34">
        <v>0</v>
      </c>
      <c r="S127" s="34"/>
      <c r="T127" s="53"/>
      <c r="U127" s="25"/>
      <c r="V127" s="5"/>
    </row>
    <row r="128" spans="1:22" x14ac:dyDescent="0.35">
      <c r="A128" s="24"/>
      <c r="B128" s="25" t="s">
        <v>220</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219</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218</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41</v>
      </c>
      <c r="C131" s="25"/>
      <c r="D131" s="25"/>
      <c r="E131" s="25"/>
      <c r="F131" s="25"/>
      <c r="G131" s="25"/>
      <c r="H131" s="25"/>
      <c r="I131" s="25"/>
      <c r="J131" s="25"/>
      <c r="K131" s="25"/>
      <c r="L131" s="25"/>
      <c r="M131" s="25"/>
      <c r="N131" s="25"/>
      <c r="O131" s="25"/>
      <c r="P131" s="25"/>
      <c r="Q131" s="25"/>
      <c r="R131" s="34">
        <f>SUM(R121:R130)</f>
        <v>-69814</v>
      </c>
      <c r="S131" s="34"/>
      <c r="T131" s="34">
        <f>SUM(T101:T129)</f>
        <v>-16464</v>
      </c>
      <c r="U131" s="25"/>
      <c r="V131" s="5"/>
    </row>
    <row r="132" spans="1:22" x14ac:dyDescent="0.35">
      <c r="A132" s="24"/>
      <c r="B132" s="25" t="s">
        <v>42</v>
      </c>
      <c r="C132" s="25"/>
      <c r="D132" s="25"/>
      <c r="E132" s="25"/>
      <c r="F132" s="25"/>
      <c r="G132" s="25"/>
      <c r="H132" s="25"/>
      <c r="I132" s="25"/>
      <c r="J132" s="25"/>
      <c r="K132" s="25"/>
      <c r="L132" s="25"/>
      <c r="M132" s="25"/>
      <c r="N132" s="25"/>
      <c r="O132" s="25"/>
      <c r="P132" s="25"/>
      <c r="Q132" s="25"/>
      <c r="R132" s="34">
        <f>R100+R131+R114</f>
        <v>0</v>
      </c>
      <c r="S132" s="34"/>
      <c r="T132" s="34">
        <f>T100+T131</f>
        <v>0</v>
      </c>
      <c r="U132" s="25"/>
      <c r="V132" s="5"/>
    </row>
    <row r="133" spans="1:22" x14ac:dyDescent="0.35">
      <c r="A133" s="24"/>
      <c r="B133" s="25"/>
      <c r="C133" s="25"/>
      <c r="D133" s="25"/>
      <c r="E133" s="25"/>
      <c r="F133" s="25"/>
      <c r="G133" s="25"/>
      <c r="H133" s="25"/>
      <c r="I133" s="25"/>
      <c r="J133" s="25"/>
      <c r="K133" s="25"/>
      <c r="L133" s="25"/>
      <c r="M133" s="25"/>
      <c r="N133" s="25"/>
      <c r="O133" s="25"/>
      <c r="P133" s="25"/>
      <c r="Q133" s="25"/>
      <c r="R133" s="34"/>
      <c r="S133" s="34"/>
      <c r="T133" s="34"/>
      <c r="U133" s="25"/>
      <c r="V133" s="5"/>
    </row>
    <row r="134" spans="1:22" x14ac:dyDescent="0.35">
      <c r="A134" s="6"/>
      <c r="B134" s="8"/>
      <c r="C134" s="8"/>
      <c r="D134" s="8"/>
      <c r="E134" s="8"/>
      <c r="F134" s="8"/>
      <c r="G134" s="8"/>
      <c r="H134" s="8"/>
      <c r="I134" s="8"/>
      <c r="J134" s="8"/>
      <c r="K134" s="8"/>
      <c r="L134" s="8"/>
      <c r="M134" s="8"/>
      <c r="N134" s="8"/>
      <c r="O134" s="8"/>
      <c r="P134" s="8"/>
      <c r="Q134" s="8"/>
      <c r="R134" s="8"/>
      <c r="S134" s="8"/>
      <c r="T134" s="52"/>
      <c r="U134" s="8"/>
      <c r="V134" s="5"/>
    </row>
    <row r="135" spans="1:22" ht="18" thickBot="1" x14ac:dyDescent="0.4">
      <c r="A135" s="101"/>
      <c r="B135" s="102" t="str">
        <f>B64</f>
        <v>PM10 INVESTOR REPORT QUARTER ENDING AUGUST 2007</v>
      </c>
      <c r="C135" s="103"/>
      <c r="D135" s="103"/>
      <c r="E135" s="103"/>
      <c r="F135" s="103"/>
      <c r="G135" s="103"/>
      <c r="H135" s="103"/>
      <c r="I135" s="103"/>
      <c r="J135" s="103"/>
      <c r="K135" s="103"/>
      <c r="L135" s="103"/>
      <c r="M135" s="103"/>
      <c r="N135" s="103"/>
      <c r="O135" s="103"/>
      <c r="P135" s="103"/>
      <c r="Q135" s="103"/>
      <c r="R135" s="103"/>
      <c r="S135" s="103"/>
      <c r="T135" s="106"/>
      <c r="U135" s="105"/>
      <c r="V135" s="5"/>
    </row>
    <row r="136" spans="1:22" x14ac:dyDescent="0.35">
      <c r="A136" s="2"/>
      <c r="B136" s="60" t="s">
        <v>43</v>
      </c>
      <c r="C136" s="4"/>
      <c r="D136" s="4"/>
      <c r="E136" s="4"/>
      <c r="F136" s="4"/>
      <c r="G136" s="4"/>
      <c r="H136" s="4"/>
      <c r="I136" s="4"/>
      <c r="J136" s="4"/>
      <c r="K136" s="4"/>
      <c r="L136" s="4"/>
      <c r="M136" s="4"/>
      <c r="N136" s="4"/>
      <c r="O136" s="4"/>
      <c r="P136" s="4"/>
      <c r="Q136" s="4"/>
      <c r="R136" s="4"/>
      <c r="S136" s="4"/>
      <c r="T136" s="50"/>
      <c r="U136" s="4"/>
      <c r="V136" s="5"/>
    </row>
    <row r="137" spans="1:22" x14ac:dyDescent="0.35">
      <c r="A137" s="6"/>
      <c r="B137" s="21"/>
      <c r="C137" s="8"/>
      <c r="D137" s="8"/>
      <c r="E137" s="8"/>
      <c r="F137" s="8"/>
      <c r="G137" s="8"/>
      <c r="H137" s="8"/>
      <c r="I137" s="8"/>
      <c r="J137" s="8"/>
      <c r="K137" s="8"/>
      <c r="L137" s="8"/>
      <c r="M137" s="8"/>
      <c r="N137" s="8"/>
      <c r="O137" s="8"/>
      <c r="P137" s="8"/>
      <c r="Q137" s="8"/>
      <c r="R137" s="8"/>
      <c r="S137" s="8"/>
      <c r="T137" s="52"/>
      <c r="U137" s="8"/>
      <c r="V137" s="5"/>
    </row>
    <row r="138" spans="1:22" x14ac:dyDescent="0.35">
      <c r="A138" s="6"/>
      <c r="B138" s="119" t="s">
        <v>44</v>
      </c>
      <c r="C138" s="8"/>
      <c r="D138" s="8"/>
      <c r="E138" s="8"/>
      <c r="F138" s="8"/>
      <c r="G138" s="8"/>
      <c r="H138" s="8"/>
      <c r="I138" s="8"/>
      <c r="J138" s="8"/>
      <c r="K138" s="8"/>
      <c r="L138" s="8"/>
      <c r="M138" s="8"/>
      <c r="N138" s="8"/>
      <c r="O138" s="8"/>
      <c r="P138" s="8"/>
      <c r="Q138" s="8"/>
      <c r="R138" s="8"/>
      <c r="S138" s="8"/>
      <c r="T138" s="52"/>
      <c r="U138" s="8"/>
      <c r="V138" s="5"/>
    </row>
    <row r="139" spans="1:22" x14ac:dyDescent="0.35">
      <c r="A139" s="24"/>
      <c r="B139" s="25" t="s">
        <v>45</v>
      </c>
      <c r="C139" s="25"/>
      <c r="D139" s="25"/>
      <c r="E139" s="25"/>
      <c r="F139" s="25"/>
      <c r="G139" s="25"/>
      <c r="H139" s="25"/>
      <c r="I139" s="25"/>
      <c r="J139" s="25"/>
      <c r="K139" s="25"/>
      <c r="L139" s="25"/>
      <c r="M139" s="25"/>
      <c r="N139" s="25"/>
      <c r="O139" s="25"/>
      <c r="P139" s="25"/>
      <c r="Q139" s="25"/>
      <c r="R139" s="25"/>
      <c r="S139" s="25"/>
      <c r="T139" s="53">
        <f>+T34*0.0186</f>
        <v>18606.565799999997</v>
      </c>
      <c r="U139" s="25"/>
      <c r="V139" s="5"/>
    </row>
    <row r="140" spans="1:22" x14ac:dyDescent="0.35">
      <c r="A140" s="24"/>
      <c r="B140" s="25" t="s">
        <v>46</v>
      </c>
      <c r="C140" s="25"/>
      <c r="D140" s="25"/>
      <c r="E140" s="25"/>
      <c r="F140" s="25"/>
      <c r="G140" s="25"/>
      <c r="H140" s="25"/>
      <c r="I140" s="25"/>
      <c r="J140" s="25"/>
      <c r="K140" s="25"/>
      <c r="L140" s="25"/>
      <c r="M140" s="25"/>
      <c r="N140" s="25"/>
      <c r="O140" s="25"/>
      <c r="P140" s="25"/>
      <c r="Q140" s="25"/>
      <c r="R140" s="25"/>
      <c r="S140" s="25"/>
      <c r="T140" s="53">
        <v>18607</v>
      </c>
      <c r="U140" s="25"/>
      <c r="V140" s="5"/>
    </row>
    <row r="141" spans="1:22" x14ac:dyDescent="0.35">
      <c r="A141" s="24"/>
      <c r="B141" s="25" t="s">
        <v>143</v>
      </c>
      <c r="C141" s="25"/>
      <c r="D141" s="25"/>
      <c r="E141" s="25"/>
      <c r="F141" s="25"/>
      <c r="G141" s="25"/>
      <c r="H141" s="25"/>
      <c r="I141" s="25"/>
      <c r="J141" s="25"/>
      <c r="K141" s="25"/>
      <c r="L141" s="25"/>
      <c r="M141" s="25"/>
      <c r="N141" s="25"/>
      <c r="O141" s="25"/>
      <c r="P141" s="25"/>
      <c r="Q141" s="25"/>
      <c r="R141" s="25"/>
      <c r="S141" s="25"/>
      <c r="T141" s="53">
        <v>0</v>
      </c>
      <c r="U141" s="25"/>
      <c r="V141" s="5"/>
    </row>
    <row r="142" spans="1:22" x14ac:dyDescent="0.35">
      <c r="A142" s="24"/>
      <c r="B142" s="25" t="s">
        <v>130</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131</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186</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47</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136</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222</v>
      </c>
      <c r="C147" s="25"/>
      <c r="D147" s="25"/>
      <c r="E147" s="25"/>
      <c r="F147" s="25"/>
      <c r="G147" s="25"/>
      <c r="H147" s="25"/>
      <c r="I147" s="25"/>
      <c r="J147" s="25"/>
      <c r="K147" s="25"/>
      <c r="L147" s="25"/>
      <c r="M147" s="25"/>
      <c r="N147" s="25"/>
      <c r="O147" s="25"/>
      <c r="P147" s="25"/>
      <c r="Q147" s="25"/>
      <c r="R147" s="25"/>
      <c r="S147" s="25"/>
      <c r="T147" s="53">
        <v>0</v>
      </c>
      <c r="U147" s="25"/>
      <c r="V147" s="5"/>
      <c r="W147" s="109"/>
    </row>
    <row r="148" spans="1:23" x14ac:dyDescent="0.35">
      <c r="A148" s="24"/>
      <c r="B148" s="25" t="s">
        <v>48</v>
      </c>
      <c r="C148" s="25"/>
      <c r="D148" s="25"/>
      <c r="E148" s="25"/>
      <c r="F148" s="25"/>
      <c r="G148" s="25"/>
      <c r="H148" s="25"/>
      <c r="I148" s="25"/>
      <c r="J148" s="25"/>
      <c r="K148" s="25"/>
      <c r="L148" s="25"/>
      <c r="M148" s="25"/>
      <c r="N148" s="25"/>
      <c r="O148" s="25"/>
      <c r="P148" s="25"/>
      <c r="Q148" s="25"/>
      <c r="R148" s="25"/>
      <c r="S148" s="25"/>
      <c r="T148" s="53">
        <f>SUM(T140:T147)</f>
        <v>18607</v>
      </c>
      <c r="U148" s="25"/>
      <c r="V148" s="5"/>
    </row>
    <row r="149" spans="1:23" x14ac:dyDescent="0.35">
      <c r="A149" s="24"/>
      <c r="B149" s="25"/>
      <c r="C149" s="25"/>
      <c r="D149" s="25"/>
      <c r="E149" s="25"/>
      <c r="F149" s="25"/>
      <c r="G149" s="25"/>
      <c r="H149" s="25"/>
      <c r="I149" s="25"/>
      <c r="J149" s="25"/>
      <c r="K149" s="25"/>
      <c r="L149" s="25"/>
      <c r="M149" s="25"/>
      <c r="N149" s="25"/>
      <c r="O149" s="25"/>
      <c r="P149" s="25"/>
      <c r="Q149" s="25"/>
      <c r="R149" s="25"/>
      <c r="S149" s="25"/>
      <c r="T149" s="53"/>
      <c r="U149" s="25"/>
      <c r="V149" s="5"/>
    </row>
    <row r="150" spans="1:23" x14ac:dyDescent="0.35">
      <c r="A150" s="24"/>
      <c r="B150" s="139" t="s">
        <v>266</v>
      </c>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25" t="s">
        <v>163</v>
      </c>
      <c r="C151" s="25"/>
      <c r="D151" s="25"/>
      <c r="E151" s="25"/>
      <c r="F151" s="25"/>
      <c r="G151" s="25"/>
      <c r="H151" s="25"/>
      <c r="I151" s="25"/>
      <c r="J151" s="25"/>
      <c r="K151" s="25"/>
      <c r="L151" s="25"/>
      <c r="M151" s="25"/>
      <c r="N151" s="25"/>
      <c r="O151" s="25"/>
      <c r="P151" s="25"/>
      <c r="Q151" s="25"/>
      <c r="R151" s="25"/>
      <c r="S151" s="25"/>
      <c r="T151" s="53">
        <v>5750</v>
      </c>
      <c r="U151" s="25"/>
      <c r="V151" s="5"/>
    </row>
    <row r="152" spans="1:23" x14ac:dyDescent="0.35">
      <c r="A152" s="24"/>
      <c r="B152" s="25" t="s">
        <v>264</v>
      </c>
      <c r="C152" s="25"/>
      <c r="D152" s="25"/>
      <c r="E152" s="25"/>
      <c r="F152" s="25"/>
      <c r="G152" s="25"/>
      <c r="H152" s="25"/>
      <c r="I152" s="25"/>
      <c r="J152" s="25"/>
      <c r="K152" s="25"/>
      <c r="L152" s="25"/>
      <c r="M152" s="25"/>
      <c r="N152" s="25"/>
      <c r="O152" s="25"/>
      <c r="P152" s="25"/>
      <c r="Q152" s="25"/>
      <c r="R152" s="25"/>
      <c r="S152" s="25"/>
      <c r="T152" s="53">
        <v>4173</v>
      </c>
      <c r="U152" s="25"/>
      <c r="V152" s="5"/>
    </row>
    <row r="153" spans="1:23" x14ac:dyDescent="0.35">
      <c r="A153" s="24"/>
      <c r="B153" s="25" t="s">
        <v>183</v>
      </c>
      <c r="C153" s="25"/>
      <c r="D153" s="25"/>
      <c r="E153" s="25"/>
      <c r="F153" s="25"/>
      <c r="G153" s="25"/>
      <c r="H153" s="25"/>
      <c r="I153" s="25"/>
      <c r="J153" s="25"/>
      <c r="K153" s="25"/>
      <c r="L153" s="25"/>
      <c r="M153" s="25"/>
      <c r="N153" s="25"/>
      <c r="O153" s="25"/>
      <c r="P153" s="25"/>
      <c r="Q153" s="25"/>
      <c r="R153" s="25"/>
      <c r="S153" s="25"/>
      <c r="T153" s="53">
        <v>0</v>
      </c>
      <c r="U153" s="25"/>
      <c r="V153" s="5"/>
    </row>
    <row r="154" spans="1:23" x14ac:dyDescent="0.35">
      <c r="A154" s="24"/>
      <c r="B154" s="25" t="s">
        <v>267</v>
      </c>
      <c r="C154" s="25"/>
      <c r="D154" s="25"/>
      <c r="E154" s="25"/>
      <c r="F154" s="25"/>
      <c r="G154" s="25"/>
      <c r="H154" s="25"/>
      <c r="I154" s="25"/>
      <c r="J154" s="25"/>
      <c r="K154" s="25"/>
      <c r="L154" s="25"/>
      <c r="M154" s="25"/>
      <c r="N154" s="25"/>
      <c r="O154" s="25"/>
      <c r="P154" s="25"/>
      <c r="Q154" s="25"/>
      <c r="R154" s="25"/>
      <c r="S154" s="25"/>
      <c r="T154" s="53">
        <v>3534</v>
      </c>
      <c r="U154" s="25"/>
      <c r="V154" s="5"/>
    </row>
    <row r="155" spans="1:23" x14ac:dyDescent="0.35">
      <c r="A155" s="24"/>
      <c r="B155" s="25"/>
      <c r="C155" s="25"/>
      <c r="D155" s="25"/>
      <c r="E155" s="25"/>
      <c r="F155" s="25"/>
      <c r="G155" s="25"/>
      <c r="H155" s="25"/>
      <c r="I155" s="25"/>
      <c r="J155" s="25"/>
      <c r="K155" s="25"/>
      <c r="L155" s="25"/>
      <c r="M155" s="25"/>
      <c r="N155" s="25"/>
      <c r="O155" s="25"/>
      <c r="P155" s="25"/>
      <c r="Q155" s="25"/>
      <c r="R155" s="25"/>
      <c r="S155" s="25"/>
      <c r="T155" s="53"/>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61"/>
      <c r="U156" s="25"/>
      <c r="V156" s="5"/>
    </row>
    <row r="157" spans="1:23" x14ac:dyDescent="0.35">
      <c r="A157" s="6"/>
      <c r="B157" s="119" t="s">
        <v>24</v>
      </c>
      <c r="C157" s="8"/>
      <c r="D157" s="8"/>
      <c r="E157" s="8"/>
      <c r="F157" s="8"/>
      <c r="G157" s="8"/>
      <c r="H157" s="8"/>
      <c r="I157" s="8"/>
      <c r="J157" s="8"/>
      <c r="K157" s="8"/>
      <c r="L157" s="8"/>
      <c r="M157" s="8"/>
      <c r="N157" s="8"/>
      <c r="O157" s="8"/>
      <c r="P157" s="8"/>
      <c r="Q157" s="8"/>
      <c r="R157" s="8"/>
      <c r="S157" s="8"/>
      <c r="T157" s="52"/>
      <c r="U157" s="8"/>
      <c r="V157" s="5"/>
    </row>
    <row r="158" spans="1:23" x14ac:dyDescent="0.35">
      <c r="A158" s="24"/>
      <c r="B158" s="25" t="s">
        <v>49</v>
      </c>
      <c r="C158" s="25"/>
      <c r="D158" s="25"/>
      <c r="E158" s="25"/>
      <c r="F158" s="25"/>
      <c r="G158" s="25"/>
      <c r="H158" s="25"/>
      <c r="I158" s="25"/>
      <c r="J158" s="25"/>
      <c r="K158" s="25"/>
      <c r="L158" s="25"/>
      <c r="M158" s="25"/>
      <c r="N158" s="25"/>
      <c r="O158" s="25"/>
      <c r="P158" s="25"/>
      <c r="Q158" s="25"/>
      <c r="R158" s="25"/>
      <c r="S158" s="25"/>
      <c r="T158" s="59" t="s">
        <v>125</v>
      </c>
      <c r="U158" s="25"/>
      <c r="V158" s="5"/>
    </row>
    <row r="159" spans="1:23" x14ac:dyDescent="0.35">
      <c r="A159" s="24"/>
      <c r="B159" s="25" t="s">
        <v>50</v>
      </c>
      <c r="C159" s="164"/>
      <c r="D159" s="164"/>
      <c r="E159" s="164"/>
      <c r="F159" s="164"/>
      <c r="G159" s="164"/>
      <c r="H159" s="164"/>
      <c r="I159" s="164"/>
      <c r="J159" s="164"/>
      <c r="K159" s="164"/>
      <c r="L159" s="164"/>
      <c r="M159" s="164"/>
      <c r="N159" s="164"/>
      <c r="O159" s="164"/>
      <c r="P159" s="164"/>
      <c r="Q159" s="164"/>
      <c r="R159" s="164"/>
      <c r="S159" s="164"/>
      <c r="T159" s="59" t="s">
        <v>125</v>
      </c>
      <c r="U159" s="25"/>
      <c r="V159" s="5"/>
    </row>
    <row r="160" spans="1:23" x14ac:dyDescent="0.35">
      <c r="A160" s="24"/>
      <c r="B160" s="25" t="s">
        <v>51</v>
      </c>
      <c r="C160" s="25"/>
      <c r="D160" s="25"/>
      <c r="E160" s="25"/>
      <c r="F160" s="25"/>
      <c r="G160" s="25"/>
      <c r="H160" s="25"/>
      <c r="I160" s="25"/>
      <c r="J160" s="25"/>
      <c r="K160" s="25"/>
      <c r="L160" s="25"/>
      <c r="M160" s="25"/>
      <c r="N160" s="25"/>
      <c r="O160" s="25"/>
      <c r="P160" s="25"/>
      <c r="Q160" s="25"/>
      <c r="R160" s="25"/>
      <c r="S160" s="25"/>
      <c r="T160" s="59" t="s">
        <v>125</v>
      </c>
      <c r="U160" s="25"/>
      <c r="V160" s="5"/>
    </row>
    <row r="161" spans="1:22" x14ac:dyDescent="0.35">
      <c r="A161" s="24"/>
      <c r="B161" s="25" t="s">
        <v>52</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c r="C162" s="25"/>
      <c r="D162" s="25"/>
      <c r="E162" s="25"/>
      <c r="F162" s="25"/>
      <c r="G162" s="25"/>
      <c r="H162" s="25"/>
      <c r="I162" s="25"/>
      <c r="J162" s="25"/>
      <c r="K162" s="25"/>
      <c r="L162" s="25"/>
      <c r="M162" s="25"/>
      <c r="N162" s="25"/>
      <c r="O162" s="25"/>
      <c r="P162" s="25"/>
      <c r="Q162" s="25"/>
      <c r="R162" s="25"/>
      <c r="S162" s="25"/>
      <c r="T162" s="61"/>
      <c r="U162" s="25"/>
      <c r="V162" s="5"/>
    </row>
    <row r="163" spans="1:22" x14ac:dyDescent="0.35">
      <c r="A163" s="6"/>
      <c r="B163" s="119" t="s">
        <v>53</v>
      </c>
      <c r="C163" s="8"/>
      <c r="D163" s="8"/>
      <c r="E163" s="8"/>
      <c r="F163" s="8"/>
      <c r="G163" s="8"/>
      <c r="H163" s="8"/>
      <c r="I163" s="8"/>
      <c r="J163" s="8"/>
      <c r="K163" s="8"/>
      <c r="L163" s="8"/>
      <c r="M163" s="8"/>
      <c r="N163" s="8"/>
      <c r="O163" s="8"/>
      <c r="P163" s="8"/>
      <c r="Q163" s="8"/>
      <c r="R163" s="8"/>
      <c r="S163" s="8"/>
      <c r="T163" s="63"/>
      <c r="U163" s="8"/>
      <c r="V163" s="5"/>
    </row>
    <row r="164" spans="1:22" x14ac:dyDescent="0.35">
      <c r="A164" s="24"/>
      <c r="B164" s="25" t="s">
        <v>54</v>
      </c>
      <c r="C164" s="25"/>
      <c r="D164" s="25"/>
      <c r="E164" s="25"/>
      <c r="F164" s="25"/>
      <c r="G164" s="25"/>
      <c r="H164" s="25"/>
      <c r="I164" s="25"/>
      <c r="J164" s="25"/>
      <c r="K164" s="25"/>
      <c r="L164" s="25"/>
      <c r="M164" s="25"/>
      <c r="N164" s="25"/>
      <c r="O164" s="25"/>
      <c r="P164" s="25"/>
      <c r="Q164" s="25"/>
      <c r="R164" s="25"/>
      <c r="S164" s="25"/>
      <c r="T164" s="53">
        <v>0</v>
      </c>
      <c r="U164" s="25"/>
      <c r="V164" s="5"/>
    </row>
    <row r="165" spans="1:22" x14ac:dyDescent="0.35">
      <c r="A165" s="24"/>
      <c r="B165" s="25" t="s">
        <v>55</v>
      </c>
      <c r="C165" s="25"/>
      <c r="D165" s="25"/>
      <c r="E165" s="25"/>
      <c r="F165" s="25"/>
      <c r="G165" s="25"/>
      <c r="H165" s="25"/>
      <c r="I165" s="25"/>
      <c r="J165" s="25"/>
      <c r="K165" s="25"/>
      <c r="L165" s="25"/>
      <c r="M165" s="25"/>
      <c r="N165" s="25"/>
      <c r="O165" s="25"/>
      <c r="P165" s="25"/>
      <c r="Q165" s="25"/>
      <c r="R165" s="25"/>
      <c r="S165" s="25"/>
      <c r="T165" s="53">
        <v>40</v>
      </c>
      <c r="U165" s="25"/>
      <c r="V165" s="5"/>
    </row>
    <row r="166" spans="1:22" x14ac:dyDescent="0.35">
      <c r="A166" s="24"/>
      <c r="B166" s="25" t="s">
        <v>56</v>
      </c>
      <c r="C166" s="25"/>
      <c r="D166" s="25"/>
      <c r="E166" s="25"/>
      <c r="F166" s="25"/>
      <c r="G166" s="25"/>
      <c r="H166" s="25"/>
      <c r="I166" s="25"/>
      <c r="J166" s="25"/>
      <c r="K166" s="25"/>
      <c r="L166" s="25"/>
      <c r="M166" s="25"/>
      <c r="N166" s="25"/>
      <c r="O166" s="25"/>
      <c r="P166" s="25"/>
      <c r="Q166" s="25"/>
      <c r="R166" s="25"/>
      <c r="S166" s="25"/>
      <c r="T166" s="53">
        <f>T165+T164</f>
        <v>40</v>
      </c>
      <c r="U166" s="25"/>
      <c r="V166" s="5"/>
    </row>
    <row r="167" spans="1:22" x14ac:dyDescent="0.35">
      <c r="A167" s="24"/>
      <c r="B167" s="25" t="s">
        <v>315</v>
      </c>
      <c r="C167" s="25"/>
      <c r="D167" s="25"/>
      <c r="E167" s="25"/>
      <c r="F167" s="25"/>
      <c r="G167" s="25"/>
      <c r="H167" s="25"/>
      <c r="I167" s="25"/>
      <c r="J167" s="25"/>
      <c r="K167" s="25"/>
      <c r="L167" s="25"/>
      <c r="M167" s="25"/>
      <c r="N167" s="25"/>
      <c r="O167" s="25"/>
      <c r="P167" s="25"/>
      <c r="Q167" s="25"/>
      <c r="R167" s="25"/>
      <c r="S167" s="25"/>
      <c r="T167" s="53">
        <f>T114</f>
        <v>-40</v>
      </c>
      <c r="U167" s="25"/>
      <c r="V167" s="5"/>
    </row>
    <row r="168" spans="1:22" x14ac:dyDescent="0.35">
      <c r="A168" s="24"/>
      <c r="B168" s="25" t="s">
        <v>57</v>
      </c>
      <c r="C168" s="25"/>
      <c r="D168" s="25"/>
      <c r="E168" s="25"/>
      <c r="F168" s="25"/>
      <c r="G168" s="25"/>
      <c r="H168" s="25"/>
      <c r="I168" s="25"/>
      <c r="J168" s="25"/>
      <c r="K168" s="25"/>
      <c r="L168" s="25"/>
      <c r="M168" s="25"/>
      <c r="N168" s="25"/>
      <c r="O168" s="25"/>
      <c r="P168" s="25"/>
      <c r="Q168" s="25"/>
      <c r="R168" s="25"/>
      <c r="S168" s="25"/>
      <c r="T168" s="53">
        <f>T166+T167</f>
        <v>0</v>
      </c>
      <c r="U168" s="25"/>
      <c r="V168" s="5"/>
    </row>
    <row r="169" spans="1:22" ht="16" thickBot="1" x14ac:dyDescent="0.4">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x14ac:dyDescent="0.35">
      <c r="A170" s="2"/>
      <c r="B170" s="4"/>
      <c r="C170" s="4"/>
      <c r="D170" s="4"/>
      <c r="E170" s="4"/>
      <c r="F170" s="4"/>
      <c r="G170" s="4"/>
      <c r="H170" s="4"/>
      <c r="I170" s="4"/>
      <c r="J170" s="4"/>
      <c r="K170" s="4"/>
      <c r="L170" s="4"/>
      <c r="M170" s="4"/>
      <c r="N170" s="4"/>
      <c r="O170" s="4"/>
      <c r="P170" s="4"/>
      <c r="Q170" s="4"/>
      <c r="R170" s="4"/>
      <c r="S170" s="4"/>
      <c r="T170" s="50"/>
      <c r="U170" s="4"/>
      <c r="V170" s="5"/>
    </row>
    <row r="171" spans="1:22" x14ac:dyDescent="0.35">
      <c r="A171" s="6"/>
      <c r="B171" s="119" t="s">
        <v>58</v>
      </c>
      <c r="C171" s="8"/>
      <c r="D171" s="8"/>
      <c r="E171" s="8"/>
      <c r="F171" s="8"/>
      <c r="G171" s="8"/>
      <c r="H171" s="8"/>
      <c r="I171" s="8"/>
      <c r="J171" s="8"/>
      <c r="K171" s="8"/>
      <c r="L171" s="8"/>
      <c r="M171" s="8"/>
      <c r="N171" s="8"/>
      <c r="O171" s="8"/>
      <c r="P171" s="8"/>
      <c r="Q171" s="8"/>
      <c r="R171" s="8"/>
      <c r="S171" s="8"/>
      <c r="T171" s="52"/>
      <c r="U171" s="8"/>
      <c r="V171" s="5"/>
    </row>
    <row r="172" spans="1:22" x14ac:dyDescent="0.35">
      <c r="A172" s="6"/>
      <c r="B172" s="21"/>
      <c r="C172" s="8"/>
      <c r="D172" s="8"/>
      <c r="E172" s="8"/>
      <c r="F172" s="8"/>
      <c r="G172" s="8"/>
      <c r="H172" s="8"/>
      <c r="I172" s="8"/>
      <c r="J172" s="8"/>
      <c r="K172" s="8"/>
      <c r="L172" s="8"/>
      <c r="M172" s="8"/>
      <c r="N172" s="8"/>
      <c r="O172" s="8"/>
      <c r="P172" s="8"/>
      <c r="Q172" s="8"/>
      <c r="R172" s="8"/>
      <c r="S172" s="8"/>
      <c r="T172" s="52"/>
      <c r="U172" s="8"/>
      <c r="V172" s="5"/>
    </row>
    <row r="173" spans="1:22" x14ac:dyDescent="0.35">
      <c r="A173" s="24"/>
      <c r="B173" s="25" t="s">
        <v>59</v>
      </c>
      <c r="C173" s="25"/>
      <c r="D173" s="25"/>
      <c r="E173" s="25"/>
      <c r="F173" s="25"/>
      <c r="G173" s="25"/>
      <c r="H173" s="25"/>
      <c r="I173" s="25"/>
      <c r="J173" s="25"/>
      <c r="K173" s="25"/>
      <c r="L173" s="25"/>
      <c r="M173" s="25"/>
      <c r="N173" s="25"/>
      <c r="O173" s="25"/>
      <c r="P173" s="25"/>
      <c r="Q173" s="25"/>
      <c r="R173" s="25"/>
      <c r="S173" s="25"/>
      <c r="T173" s="53">
        <f>T72</f>
        <v>820910</v>
      </c>
      <c r="U173" s="25"/>
      <c r="V173" s="5"/>
    </row>
    <row r="174" spans="1:22" x14ac:dyDescent="0.35">
      <c r="A174" s="24"/>
      <c r="B174" s="25" t="s">
        <v>60</v>
      </c>
      <c r="C174" s="25"/>
      <c r="D174" s="25"/>
      <c r="E174" s="25"/>
      <c r="F174" s="25"/>
      <c r="G174" s="25"/>
      <c r="H174" s="25"/>
      <c r="I174" s="25"/>
      <c r="J174" s="25"/>
      <c r="K174" s="25"/>
      <c r="L174" s="25"/>
      <c r="M174" s="25"/>
      <c r="N174" s="25"/>
      <c r="O174" s="25"/>
      <c r="P174" s="25"/>
      <c r="Q174" s="25"/>
      <c r="R174" s="25"/>
      <c r="S174" s="25"/>
      <c r="T174" s="53">
        <f>T85</f>
        <v>820910</v>
      </c>
      <c r="U174" s="25"/>
      <c r="V174" s="5"/>
    </row>
    <row r="175" spans="1:22" ht="16" thickBot="1" x14ac:dyDescent="0.4">
      <c r="A175" s="24"/>
      <c r="B175" s="25"/>
      <c r="C175" s="25"/>
      <c r="D175" s="25"/>
      <c r="E175" s="25"/>
      <c r="F175" s="25"/>
      <c r="G175" s="25"/>
      <c r="H175" s="25"/>
      <c r="I175" s="25"/>
      <c r="J175" s="25"/>
      <c r="K175" s="25"/>
      <c r="L175" s="25"/>
      <c r="M175" s="25"/>
      <c r="N175" s="25"/>
      <c r="O175" s="25"/>
      <c r="P175" s="25"/>
      <c r="Q175" s="25"/>
      <c r="R175" s="25"/>
      <c r="S175" s="25"/>
      <c r="T175" s="61"/>
      <c r="U175" s="25"/>
      <c r="V175" s="5"/>
    </row>
    <row r="176" spans="1:22" x14ac:dyDescent="0.35">
      <c r="A176" s="2"/>
      <c r="B176" s="4"/>
      <c r="C176" s="4"/>
      <c r="D176" s="4"/>
      <c r="E176" s="4"/>
      <c r="F176" s="4"/>
      <c r="G176" s="4"/>
      <c r="H176" s="4"/>
      <c r="I176" s="4"/>
      <c r="J176" s="4"/>
      <c r="K176" s="4"/>
      <c r="L176" s="4"/>
      <c r="M176" s="4"/>
      <c r="N176" s="4"/>
      <c r="O176" s="4"/>
      <c r="P176" s="4"/>
      <c r="Q176" s="4"/>
      <c r="R176" s="4"/>
      <c r="S176" s="4"/>
      <c r="T176" s="50"/>
      <c r="U176" s="4"/>
      <c r="V176" s="5"/>
    </row>
    <row r="177" spans="1:22" x14ac:dyDescent="0.35">
      <c r="A177" s="6"/>
      <c r="B177" s="119" t="s">
        <v>61</v>
      </c>
      <c r="C177" s="117"/>
      <c r="D177" s="117"/>
      <c r="E177" s="117"/>
      <c r="F177" s="117"/>
      <c r="G177" s="117"/>
      <c r="H177" s="120"/>
      <c r="I177" s="120"/>
      <c r="J177" s="120"/>
      <c r="K177" s="120"/>
      <c r="L177" s="120"/>
      <c r="M177" s="120"/>
      <c r="N177" s="120"/>
      <c r="O177" s="120"/>
      <c r="P177" s="120"/>
      <c r="Q177" s="120" t="s">
        <v>105</v>
      </c>
      <c r="R177" s="120" t="s">
        <v>187</v>
      </c>
      <c r="S177" s="111"/>
      <c r="T177" s="121" t="s">
        <v>121</v>
      </c>
      <c r="U177" s="10"/>
      <c r="V177" s="5"/>
    </row>
    <row r="178" spans="1:22" x14ac:dyDescent="0.35">
      <c r="A178" s="24"/>
      <c r="B178" s="25" t="s">
        <v>62</v>
      </c>
      <c r="C178" s="25"/>
      <c r="D178" s="25"/>
      <c r="E178" s="25"/>
      <c r="F178" s="25"/>
      <c r="G178" s="25"/>
      <c r="H178" s="25"/>
      <c r="I178" s="25"/>
      <c r="J178" s="25"/>
      <c r="K178" s="25"/>
      <c r="L178" s="25"/>
      <c r="M178" s="25"/>
      <c r="N178" s="25"/>
      <c r="O178" s="25"/>
      <c r="P178" s="25"/>
      <c r="Q178" s="53">
        <f>+T34*0.16</f>
        <v>160056.48000000001</v>
      </c>
      <c r="R178" s="40"/>
      <c r="S178" s="25"/>
      <c r="T178" s="53"/>
      <c r="U178" s="25"/>
      <c r="V178" s="5"/>
    </row>
    <row r="179" spans="1:22" x14ac:dyDescent="0.35">
      <c r="A179" s="24"/>
      <c r="B179" s="25" t="s">
        <v>63</v>
      </c>
      <c r="C179" s="25"/>
      <c r="D179" s="25"/>
      <c r="E179" s="25"/>
      <c r="F179" s="25"/>
      <c r="G179" s="25"/>
      <c r="H179" s="25"/>
      <c r="I179" s="25"/>
      <c r="J179" s="25"/>
      <c r="K179" s="25"/>
      <c r="L179" s="25"/>
      <c r="M179" s="25"/>
      <c r="N179" s="25"/>
      <c r="O179" s="25"/>
      <c r="P179" s="25"/>
      <c r="Q179" s="53">
        <f>+'May 07'!Q181</f>
        <v>25049</v>
      </c>
      <c r="R179" s="53">
        <f>+'May 07'!R181</f>
        <v>5560</v>
      </c>
      <c r="S179" s="25"/>
      <c r="T179" s="53">
        <f>Q179+R179</f>
        <v>30609</v>
      </c>
      <c r="U179" s="25"/>
      <c r="V179" s="5"/>
    </row>
    <row r="180" spans="1:22" x14ac:dyDescent="0.35">
      <c r="A180" s="24"/>
      <c r="B180" s="25" t="s">
        <v>64</v>
      </c>
      <c r="C180" s="25"/>
      <c r="D180" s="25"/>
      <c r="E180" s="25"/>
      <c r="F180" s="25"/>
      <c r="G180" s="25"/>
      <c r="H180" s="25"/>
      <c r="I180" s="25"/>
      <c r="J180" s="25"/>
      <c r="K180" s="25"/>
      <c r="L180" s="25"/>
      <c r="M180" s="25"/>
      <c r="N180" s="25"/>
      <c r="O180" s="25"/>
      <c r="P180" s="25"/>
      <c r="Q180" s="34">
        <v>3911</v>
      </c>
      <c r="R180" s="34">
        <v>133</v>
      </c>
      <c r="S180" s="25"/>
      <c r="T180" s="53">
        <f>Q180+R180</f>
        <v>4044</v>
      </c>
      <c r="U180" s="25"/>
      <c r="V180" s="5"/>
    </row>
    <row r="181" spans="1:22" x14ac:dyDescent="0.35">
      <c r="A181" s="24"/>
      <c r="B181" s="25" t="s">
        <v>65</v>
      </c>
      <c r="C181" s="25"/>
      <c r="D181" s="25"/>
      <c r="E181" s="25"/>
      <c r="F181" s="25"/>
      <c r="G181" s="25"/>
      <c r="H181" s="25"/>
      <c r="I181" s="25"/>
      <c r="J181" s="25"/>
      <c r="K181" s="25"/>
      <c r="L181" s="25"/>
      <c r="M181" s="25"/>
      <c r="N181" s="25"/>
      <c r="O181" s="25"/>
      <c r="P181" s="25"/>
      <c r="Q181" s="53">
        <f>Q179+Q180</f>
        <v>28960</v>
      </c>
      <c r="R181" s="53">
        <f>R180+R179</f>
        <v>5693</v>
      </c>
      <c r="S181" s="25"/>
      <c r="T181" s="53">
        <f>Q181+R181</f>
        <v>34653</v>
      </c>
      <c r="U181" s="25"/>
      <c r="V181" s="5"/>
    </row>
    <row r="182" spans="1:22" x14ac:dyDescent="0.35">
      <c r="A182" s="24"/>
      <c r="B182" s="25" t="s">
        <v>66</v>
      </c>
      <c r="C182" s="25"/>
      <c r="D182" s="25"/>
      <c r="E182" s="25"/>
      <c r="F182" s="25"/>
      <c r="G182" s="25"/>
      <c r="H182" s="25"/>
      <c r="I182" s="25"/>
      <c r="J182" s="25"/>
      <c r="K182" s="25"/>
      <c r="L182" s="25"/>
      <c r="M182" s="25"/>
      <c r="N182" s="25"/>
      <c r="O182" s="25"/>
      <c r="P182" s="25"/>
      <c r="Q182" s="53">
        <f>Q178-Q181-R181</f>
        <v>125403.48000000001</v>
      </c>
      <c r="R182" s="40"/>
      <c r="S182" s="25"/>
      <c r="T182" s="53"/>
      <c r="U182" s="25"/>
      <c r="V182" s="5"/>
    </row>
    <row r="183" spans="1:22" ht="16" thickBot="1" x14ac:dyDescent="0.4">
      <c r="A183" s="24"/>
      <c r="B183" s="25"/>
      <c r="C183" s="25"/>
      <c r="D183" s="25"/>
      <c r="E183" s="25"/>
      <c r="F183" s="25"/>
      <c r="G183" s="25"/>
      <c r="H183" s="25"/>
      <c r="I183" s="25"/>
      <c r="J183" s="25"/>
      <c r="K183" s="25"/>
      <c r="L183" s="25"/>
      <c r="M183" s="25"/>
      <c r="N183" s="25"/>
      <c r="O183" s="25"/>
      <c r="P183" s="25"/>
      <c r="Q183" s="25"/>
      <c r="R183" s="25"/>
      <c r="S183" s="25"/>
      <c r="T183" s="61"/>
      <c r="U183" s="25"/>
      <c r="V183" s="5"/>
    </row>
    <row r="184" spans="1:22" x14ac:dyDescent="0.35">
      <c r="A184" s="2"/>
      <c r="B184" s="4"/>
      <c r="C184" s="4"/>
      <c r="D184" s="4"/>
      <c r="E184" s="4"/>
      <c r="F184" s="4"/>
      <c r="G184" s="4"/>
      <c r="H184" s="4"/>
      <c r="I184" s="4"/>
      <c r="J184" s="4"/>
      <c r="K184" s="4"/>
      <c r="L184" s="4"/>
      <c r="M184" s="4"/>
      <c r="N184" s="4"/>
      <c r="O184" s="4"/>
      <c r="P184" s="4"/>
      <c r="Q184" s="4"/>
      <c r="R184" s="4"/>
      <c r="S184" s="4"/>
      <c r="T184" s="50"/>
      <c r="U184" s="4"/>
      <c r="V184" s="5"/>
    </row>
    <row r="185" spans="1:22" x14ac:dyDescent="0.35">
      <c r="A185" s="6"/>
      <c r="B185" s="119" t="s">
        <v>67</v>
      </c>
      <c r="C185" s="8"/>
      <c r="D185" s="8"/>
      <c r="E185" s="8"/>
      <c r="F185" s="8"/>
      <c r="G185" s="8"/>
      <c r="H185" s="8"/>
      <c r="I185" s="8"/>
      <c r="J185" s="8"/>
      <c r="K185" s="8"/>
      <c r="L185" s="8"/>
      <c r="M185" s="8"/>
      <c r="N185" s="8"/>
      <c r="O185" s="8"/>
      <c r="P185" s="8"/>
      <c r="Q185" s="8"/>
      <c r="R185" s="8"/>
      <c r="S185" s="8"/>
      <c r="T185" s="65"/>
      <c r="U185" s="8"/>
      <c r="V185" s="5"/>
    </row>
    <row r="186" spans="1:22" x14ac:dyDescent="0.35">
      <c r="A186" s="24"/>
      <c r="B186" s="25" t="s">
        <v>68</v>
      </c>
      <c r="C186" s="25"/>
      <c r="D186" s="25"/>
      <c r="E186" s="25"/>
      <c r="F186" s="25"/>
      <c r="G186" s="25"/>
      <c r="H186" s="25"/>
      <c r="I186" s="25"/>
      <c r="J186" s="25"/>
      <c r="K186" s="25"/>
      <c r="L186" s="25"/>
      <c r="M186" s="25"/>
      <c r="N186" s="25"/>
      <c r="O186" s="25"/>
      <c r="P186" s="25"/>
      <c r="Q186" s="25"/>
      <c r="R186" s="25"/>
      <c r="S186" s="25"/>
      <c r="T186" s="59">
        <f>(T100+T102+T103+T104+T105+T106)/-(T107+T108)</f>
        <v>1.3692988427501702</v>
      </c>
      <c r="U186" s="25" t="s">
        <v>122</v>
      </c>
      <c r="V186" s="5"/>
    </row>
    <row r="187" spans="1:22" x14ac:dyDescent="0.35">
      <c r="A187" s="24"/>
      <c r="B187" s="25" t="s">
        <v>69</v>
      </c>
      <c r="C187" s="25"/>
      <c r="D187" s="25"/>
      <c r="E187" s="25"/>
      <c r="F187" s="25"/>
      <c r="G187" s="25"/>
      <c r="H187" s="25"/>
      <c r="I187" s="25"/>
      <c r="J187" s="25"/>
      <c r="K187" s="25"/>
      <c r="L187" s="25"/>
      <c r="M187" s="25"/>
      <c r="N187" s="25"/>
      <c r="O187" s="25"/>
      <c r="P187" s="25"/>
      <c r="Q187" s="25"/>
      <c r="R187" s="25"/>
      <c r="S187" s="25"/>
      <c r="T187" s="66">
        <v>1.41</v>
      </c>
      <c r="U187" s="25" t="s">
        <v>122</v>
      </c>
      <c r="V187" s="5"/>
    </row>
    <row r="188" spans="1:22" x14ac:dyDescent="0.35">
      <c r="A188" s="24"/>
      <c r="B188" s="25" t="s">
        <v>70</v>
      </c>
      <c r="C188" s="25"/>
      <c r="D188" s="25"/>
      <c r="E188" s="25"/>
      <c r="F188" s="25"/>
      <c r="G188" s="25"/>
      <c r="H188" s="25"/>
      <c r="I188" s="25"/>
      <c r="J188" s="25"/>
      <c r="K188" s="25"/>
      <c r="L188" s="25"/>
      <c r="M188" s="25"/>
      <c r="N188" s="25"/>
      <c r="O188" s="25"/>
      <c r="P188" s="25"/>
      <c r="Q188" s="25"/>
      <c r="R188" s="25"/>
      <c r="S188" s="25"/>
      <c r="T188" s="59">
        <f>(T100+T102+T103+T104+T105+T106+T107+T108)/-(T109+T110)</f>
        <v>6.2266857962697273</v>
      </c>
      <c r="U188" s="25" t="s">
        <v>122</v>
      </c>
      <c r="V188" s="5"/>
    </row>
    <row r="189" spans="1:22" x14ac:dyDescent="0.35">
      <c r="A189" s="24"/>
      <c r="B189" s="25" t="s">
        <v>71</v>
      </c>
      <c r="C189" s="25"/>
      <c r="D189" s="25"/>
      <c r="E189" s="25"/>
      <c r="F189" s="25"/>
      <c r="G189" s="25"/>
      <c r="H189" s="25"/>
      <c r="I189" s="25"/>
      <c r="J189" s="25"/>
      <c r="K189" s="25"/>
      <c r="L189" s="25"/>
      <c r="M189" s="25"/>
      <c r="N189" s="25"/>
      <c r="O189" s="25"/>
      <c r="P189" s="25"/>
      <c r="Q189" s="25"/>
      <c r="R189" s="25"/>
      <c r="S189" s="25"/>
      <c r="T189" s="66">
        <v>7.43</v>
      </c>
      <c r="U189" s="25" t="s">
        <v>122</v>
      </c>
      <c r="V189" s="5"/>
    </row>
    <row r="190" spans="1:22" x14ac:dyDescent="0.35">
      <c r="A190" s="24"/>
      <c r="B190" s="25" t="s">
        <v>232</v>
      </c>
      <c r="C190" s="25"/>
      <c r="D190" s="25"/>
      <c r="E190" s="25"/>
      <c r="F190" s="25"/>
      <c r="G190" s="25"/>
      <c r="H190" s="25"/>
      <c r="I190" s="25"/>
      <c r="J190" s="25"/>
      <c r="K190" s="25"/>
      <c r="L190" s="25"/>
      <c r="M190" s="25"/>
      <c r="N190" s="25"/>
      <c r="O190" s="25"/>
      <c r="P190" s="25"/>
      <c r="Q190" s="25"/>
      <c r="R190" s="25"/>
      <c r="S190" s="25"/>
      <c r="T190" s="59">
        <f>(T100+T102+T103+T104+T105+T106+T107+T108+T109+T110)/-(T111+T112)</f>
        <v>3.1459412780656302</v>
      </c>
      <c r="U190" s="25" t="s">
        <v>122</v>
      </c>
      <c r="V190" s="5"/>
    </row>
    <row r="191" spans="1:22" x14ac:dyDescent="0.35">
      <c r="A191" s="24"/>
      <c r="B191" s="25" t="s">
        <v>233</v>
      </c>
      <c r="C191" s="25"/>
      <c r="D191" s="25"/>
      <c r="E191" s="25"/>
      <c r="F191" s="25"/>
      <c r="G191" s="25"/>
      <c r="H191" s="25"/>
      <c r="I191" s="25"/>
      <c r="J191" s="25"/>
      <c r="K191" s="25"/>
      <c r="L191" s="25"/>
      <c r="M191" s="25"/>
      <c r="N191" s="25"/>
      <c r="O191" s="25"/>
      <c r="P191" s="25"/>
      <c r="Q191" s="25"/>
      <c r="R191" s="25"/>
      <c r="S191" s="25"/>
      <c r="T191" s="66">
        <v>3.85</v>
      </c>
      <c r="U191" s="25" t="s">
        <v>122</v>
      </c>
      <c r="V191" s="5"/>
    </row>
    <row r="192" spans="1:22"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6"/>
      <c r="B194" s="8"/>
      <c r="C194" s="8"/>
      <c r="D194" s="8"/>
      <c r="E194" s="8"/>
      <c r="F194" s="8"/>
      <c r="G194" s="8"/>
      <c r="H194" s="8"/>
      <c r="I194" s="8"/>
      <c r="J194" s="8"/>
      <c r="K194" s="8"/>
      <c r="L194" s="8"/>
      <c r="M194" s="8"/>
      <c r="N194" s="8"/>
      <c r="O194" s="8"/>
      <c r="P194" s="8"/>
      <c r="Q194" s="8"/>
      <c r="R194" s="8"/>
      <c r="S194" s="8"/>
      <c r="T194" s="8"/>
      <c r="U194" s="8"/>
      <c r="V194" s="5"/>
    </row>
    <row r="195" spans="1:22" ht="18" thickBot="1" x14ac:dyDescent="0.4">
      <c r="A195" s="101"/>
      <c r="B195" s="102" t="str">
        <f>B135</f>
        <v>PM10 INVESTOR REPORT QUARTER ENDING AUGUST 2007</v>
      </c>
      <c r="C195" s="166"/>
      <c r="D195" s="166"/>
      <c r="E195" s="166"/>
      <c r="F195" s="166"/>
      <c r="G195" s="166"/>
      <c r="H195" s="166"/>
      <c r="I195" s="166"/>
      <c r="J195" s="166"/>
      <c r="K195" s="166"/>
      <c r="L195" s="166"/>
      <c r="M195" s="166"/>
      <c r="N195" s="166"/>
      <c r="O195" s="166"/>
      <c r="P195" s="166"/>
      <c r="Q195" s="166"/>
      <c r="R195" s="166"/>
      <c r="S195" s="166"/>
      <c r="T195" s="166"/>
      <c r="U195" s="167"/>
      <c r="V195" s="5"/>
    </row>
    <row r="196" spans="1:22" x14ac:dyDescent="0.35">
      <c r="A196" s="67"/>
      <c r="B196" s="60" t="s">
        <v>72</v>
      </c>
      <c r="C196" s="68"/>
      <c r="D196" s="68"/>
      <c r="E196" s="68"/>
      <c r="F196" s="68"/>
      <c r="G196" s="69"/>
      <c r="H196" s="69"/>
      <c r="I196" s="69"/>
      <c r="J196" s="69"/>
      <c r="K196" s="69"/>
      <c r="L196" s="69"/>
      <c r="M196" s="69"/>
      <c r="N196" s="69"/>
      <c r="O196" s="69"/>
      <c r="P196" s="69"/>
      <c r="Q196" s="69"/>
      <c r="R196" s="70">
        <v>39325</v>
      </c>
      <c r="S196" s="4"/>
      <c r="T196" s="4"/>
      <c r="U196" s="4"/>
      <c r="V196" s="5"/>
    </row>
    <row r="197" spans="1:22" x14ac:dyDescent="0.35">
      <c r="A197" s="71"/>
      <c r="B197" s="72"/>
      <c r="C197" s="73"/>
      <c r="D197" s="73"/>
      <c r="E197" s="73"/>
      <c r="F197" s="73"/>
      <c r="G197" s="74"/>
      <c r="H197" s="74"/>
      <c r="I197" s="74"/>
      <c r="J197" s="74"/>
      <c r="K197" s="74"/>
      <c r="L197" s="74"/>
      <c r="M197" s="74"/>
      <c r="N197" s="74"/>
      <c r="O197" s="74"/>
      <c r="P197" s="74"/>
      <c r="Q197" s="74"/>
      <c r="R197" s="74"/>
      <c r="S197" s="8"/>
      <c r="T197" s="8"/>
      <c r="U197" s="8"/>
      <c r="V197" s="5"/>
    </row>
    <row r="198" spans="1:22" x14ac:dyDescent="0.35">
      <c r="A198" s="75"/>
      <c r="B198" s="76" t="s">
        <v>73</v>
      </c>
      <c r="C198" s="77"/>
      <c r="D198" s="77"/>
      <c r="E198" s="77"/>
      <c r="F198" s="77"/>
      <c r="G198" s="64"/>
      <c r="H198" s="64"/>
      <c r="I198" s="64"/>
      <c r="J198" s="64"/>
      <c r="K198" s="64"/>
      <c r="L198" s="64"/>
      <c r="M198" s="64"/>
      <c r="N198" s="64"/>
      <c r="O198" s="64"/>
      <c r="P198" s="64"/>
      <c r="Q198" s="64"/>
      <c r="R198" s="78">
        <v>5.3960000000000001E-2</v>
      </c>
      <c r="S198" s="25"/>
      <c r="T198" s="25"/>
      <c r="U198" s="25"/>
      <c r="V198" s="5"/>
    </row>
    <row r="199" spans="1:22" x14ac:dyDescent="0.35">
      <c r="A199" s="75"/>
      <c r="B199" s="76" t="s">
        <v>159</v>
      </c>
      <c r="C199" s="77"/>
      <c r="D199" s="77"/>
      <c r="E199" s="77"/>
      <c r="F199" s="77"/>
      <c r="G199" s="64"/>
      <c r="H199" s="64"/>
      <c r="I199" s="64"/>
      <c r="J199" s="64"/>
      <c r="K199" s="64"/>
      <c r="L199" s="64"/>
      <c r="M199" s="64"/>
      <c r="N199" s="64"/>
      <c r="O199" s="64"/>
      <c r="P199" s="64"/>
      <c r="Q199" s="64"/>
      <c r="R199" s="39">
        <v>4.7399999999999998E-2</v>
      </c>
      <c r="S199" s="25"/>
      <c r="T199" s="25"/>
      <c r="U199" s="25"/>
      <c r="V199" s="5"/>
    </row>
    <row r="200" spans="1:22" x14ac:dyDescent="0.35">
      <c r="A200" s="75"/>
      <c r="B200" s="76" t="s">
        <v>74</v>
      </c>
      <c r="C200" s="77"/>
      <c r="D200" s="77"/>
      <c r="E200" s="77"/>
      <c r="F200" s="77"/>
      <c r="G200" s="64"/>
      <c r="H200" s="64"/>
      <c r="I200" s="64"/>
      <c r="J200" s="64"/>
      <c r="K200" s="64"/>
      <c r="L200" s="64"/>
      <c r="M200" s="64"/>
      <c r="N200" s="64"/>
      <c r="O200" s="64"/>
      <c r="P200" s="64"/>
      <c r="Q200" s="64"/>
      <c r="R200" s="78">
        <f>R198-R199</f>
        <v>6.5600000000000033E-3</v>
      </c>
      <c r="S200" s="25"/>
      <c r="T200" s="25"/>
      <c r="U200" s="25"/>
      <c r="V200" s="5"/>
    </row>
    <row r="201" spans="1:22" x14ac:dyDescent="0.35">
      <c r="A201" s="75"/>
      <c r="B201" s="76" t="s">
        <v>75</v>
      </c>
      <c r="C201" s="77"/>
      <c r="D201" s="77"/>
      <c r="E201" s="77"/>
      <c r="F201" s="77"/>
      <c r="G201" s="64"/>
      <c r="H201" s="64"/>
      <c r="I201" s="64"/>
      <c r="J201" s="64"/>
      <c r="K201" s="64"/>
      <c r="L201" s="64"/>
      <c r="M201" s="64"/>
      <c r="N201" s="64"/>
      <c r="O201" s="64"/>
      <c r="P201" s="64"/>
      <c r="Q201" s="64"/>
      <c r="R201" s="78">
        <v>6.0139999999999999E-2</v>
      </c>
      <c r="S201" s="25"/>
      <c r="T201" s="25"/>
      <c r="U201" s="25"/>
      <c r="V201" s="5"/>
    </row>
    <row r="202" spans="1:22" x14ac:dyDescent="0.35">
      <c r="A202" s="75"/>
      <c r="B202" s="76" t="s">
        <v>262</v>
      </c>
      <c r="C202" s="77"/>
      <c r="D202" s="77"/>
      <c r="E202" s="77"/>
      <c r="F202" s="77"/>
      <c r="G202" s="64"/>
      <c r="H202" s="64"/>
      <c r="I202" s="64"/>
      <c r="J202" s="64"/>
      <c r="K202" s="64"/>
      <c r="L202" s="64"/>
      <c r="M202" s="64"/>
      <c r="N202" s="64"/>
      <c r="O202" s="64"/>
      <c r="P202" s="64"/>
      <c r="Q202" s="64"/>
      <c r="R202" s="78">
        <f>T43</f>
        <v>5.9609533120815426E-2</v>
      </c>
      <c r="S202" s="25"/>
      <c r="T202" s="25"/>
      <c r="U202" s="25"/>
      <c r="V202" s="5"/>
    </row>
    <row r="203" spans="1:22" x14ac:dyDescent="0.35">
      <c r="A203" s="75"/>
      <c r="B203" s="76" t="s">
        <v>76</v>
      </c>
      <c r="C203" s="77"/>
      <c r="D203" s="77"/>
      <c r="E203" s="77"/>
      <c r="F203" s="77"/>
      <c r="G203" s="64"/>
      <c r="H203" s="64"/>
      <c r="I203" s="64"/>
      <c r="J203" s="64"/>
      <c r="K203" s="64"/>
      <c r="L203" s="64"/>
      <c r="M203" s="64"/>
      <c r="N203" s="64"/>
      <c r="O203" s="64"/>
      <c r="P203" s="64"/>
      <c r="Q203" s="64"/>
      <c r="R203" s="78">
        <f>R201-R202</f>
        <v>5.3046687918457264E-4</v>
      </c>
      <c r="S203" s="25"/>
      <c r="T203" s="25"/>
      <c r="U203" s="25"/>
      <c r="V203" s="5"/>
    </row>
    <row r="204" spans="1:22" x14ac:dyDescent="0.35">
      <c r="A204" s="75"/>
      <c r="B204" s="76" t="s">
        <v>269</v>
      </c>
      <c r="C204" s="77"/>
      <c r="D204" s="77"/>
      <c r="E204" s="77"/>
      <c r="F204" s="77"/>
      <c r="G204" s="64"/>
      <c r="H204" s="64"/>
      <c r="I204" s="64"/>
      <c r="J204" s="64"/>
      <c r="K204" s="64"/>
      <c r="L204" s="64"/>
      <c r="M204" s="64"/>
      <c r="N204" s="64"/>
      <c r="O204" s="64"/>
      <c r="P204" s="64"/>
      <c r="Q204" s="64"/>
      <c r="R204" s="78">
        <f>+T100/L69</f>
        <v>1.8573881494484468E-2</v>
      </c>
      <c r="S204" s="25"/>
      <c r="T204" s="25"/>
      <c r="U204" s="25"/>
      <c r="V204" s="5"/>
    </row>
    <row r="205" spans="1:22" x14ac:dyDescent="0.35">
      <c r="A205" s="75"/>
      <c r="B205" s="76" t="s">
        <v>251</v>
      </c>
      <c r="C205" s="77"/>
      <c r="D205" s="77"/>
      <c r="E205" s="77"/>
      <c r="F205" s="77"/>
      <c r="G205" s="64"/>
      <c r="H205" s="64"/>
      <c r="I205" s="64"/>
      <c r="J205" s="64"/>
      <c r="K205" s="64"/>
      <c r="L205" s="64"/>
      <c r="M205" s="64"/>
      <c r="N205" s="64"/>
      <c r="O205" s="64"/>
      <c r="P205" s="64"/>
      <c r="Q205" s="64"/>
      <c r="R205" s="130">
        <v>51653</v>
      </c>
      <c r="S205" s="25"/>
      <c r="T205" s="25"/>
      <c r="U205" s="25"/>
      <c r="V205" s="5"/>
    </row>
    <row r="206" spans="1:22" x14ac:dyDescent="0.35">
      <c r="A206" s="75"/>
      <c r="B206" s="76" t="s">
        <v>252</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253</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77</v>
      </c>
      <c r="C208" s="77"/>
      <c r="D208" s="77"/>
      <c r="E208" s="77"/>
      <c r="F208" s="77"/>
      <c r="G208" s="64"/>
      <c r="H208" s="64"/>
      <c r="I208" s="64"/>
      <c r="J208" s="64"/>
      <c r="K208" s="64"/>
      <c r="L208" s="64"/>
      <c r="M208" s="64"/>
      <c r="N208" s="64"/>
      <c r="O208" s="64"/>
      <c r="P208" s="64"/>
      <c r="Q208" s="64"/>
      <c r="R208" s="134">
        <v>21.48</v>
      </c>
      <c r="S208" s="25" t="s">
        <v>117</v>
      </c>
      <c r="T208" s="25"/>
      <c r="U208" s="25"/>
      <c r="V208" s="5"/>
    </row>
    <row r="209" spans="1:22" x14ac:dyDescent="0.35">
      <c r="A209" s="75"/>
      <c r="B209" s="76" t="s">
        <v>78</v>
      </c>
      <c r="C209" s="77"/>
      <c r="D209" s="77"/>
      <c r="E209" s="77"/>
      <c r="F209" s="77"/>
      <c r="G209" s="64"/>
      <c r="H209" s="64"/>
      <c r="I209" s="64"/>
      <c r="J209" s="64"/>
      <c r="K209" s="64"/>
      <c r="L209" s="64"/>
      <c r="M209" s="64"/>
      <c r="N209" s="64"/>
      <c r="O209" s="64"/>
      <c r="P209" s="64"/>
      <c r="Q209" s="64"/>
      <c r="R209" s="134">
        <v>19.87</v>
      </c>
      <c r="S209" s="25" t="s">
        <v>117</v>
      </c>
      <c r="T209" s="25"/>
      <c r="U209" s="25"/>
      <c r="V209" s="5"/>
    </row>
    <row r="210" spans="1:22" x14ac:dyDescent="0.35">
      <c r="A210" s="75"/>
      <c r="B210" s="76" t="s">
        <v>79</v>
      </c>
      <c r="C210" s="77"/>
      <c r="D210" s="77"/>
      <c r="E210" s="77"/>
      <c r="F210" s="77"/>
      <c r="G210" s="64"/>
      <c r="H210" s="64"/>
      <c r="I210" s="64"/>
      <c r="J210" s="64"/>
      <c r="K210" s="64"/>
      <c r="L210" s="64"/>
      <c r="M210" s="64"/>
      <c r="N210" s="64"/>
      <c r="O210" s="64"/>
      <c r="P210" s="64"/>
      <c r="Q210" s="64"/>
      <c r="R210" s="78">
        <f>+N69/L69</f>
        <v>7.8929971141892097E-2</v>
      </c>
      <c r="S210" s="25"/>
      <c r="T210" s="25"/>
      <c r="U210" s="25"/>
      <c r="V210" s="5"/>
    </row>
    <row r="211" spans="1:22" x14ac:dyDescent="0.35">
      <c r="A211" s="75"/>
      <c r="B211" s="76" t="s">
        <v>80</v>
      </c>
      <c r="C211" s="77"/>
      <c r="D211" s="77"/>
      <c r="E211" s="77"/>
      <c r="F211" s="77"/>
      <c r="G211" s="64"/>
      <c r="H211" s="64"/>
      <c r="I211" s="64"/>
      <c r="J211" s="64"/>
      <c r="K211" s="64"/>
      <c r="L211" s="64"/>
      <c r="M211" s="64"/>
      <c r="N211" s="64"/>
      <c r="O211" s="64"/>
      <c r="P211" s="64"/>
      <c r="Q211" s="64"/>
      <c r="R211" s="78">
        <v>0.1217</v>
      </c>
      <c r="S211" s="25"/>
      <c r="T211" s="25"/>
      <c r="U211" s="25"/>
      <c r="V211" s="5"/>
    </row>
    <row r="212" spans="1:22" x14ac:dyDescent="0.35">
      <c r="A212" s="75"/>
      <c r="B212" s="76"/>
      <c r="C212" s="76"/>
      <c r="D212" s="76"/>
      <c r="E212" s="76"/>
      <c r="F212" s="76"/>
      <c r="G212" s="25"/>
      <c r="H212" s="25"/>
      <c r="I212" s="25"/>
      <c r="J212" s="25"/>
      <c r="K212" s="25"/>
      <c r="L212" s="25"/>
      <c r="M212" s="25"/>
      <c r="N212" s="25"/>
      <c r="O212" s="25"/>
      <c r="P212" s="25"/>
      <c r="Q212" s="25"/>
      <c r="R212" s="61"/>
      <c r="S212" s="25"/>
      <c r="T212" s="79"/>
      <c r="U212" s="25"/>
      <c r="V212" s="5"/>
    </row>
    <row r="213" spans="1:22" x14ac:dyDescent="0.35">
      <c r="A213" s="80"/>
      <c r="B213" s="14" t="s">
        <v>81</v>
      </c>
      <c r="C213" s="81"/>
      <c r="D213" s="81"/>
      <c r="E213" s="81"/>
      <c r="F213" s="82"/>
      <c r="G213" s="81"/>
      <c r="H213" s="17"/>
      <c r="I213" s="17"/>
      <c r="J213" s="17"/>
      <c r="K213" s="17"/>
      <c r="L213" s="17"/>
      <c r="M213" s="17"/>
      <c r="N213" s="17"/>
      <c r="O213" s="17"/>
      <c r="P213" s="17"/>
      <c r="Q213" s="17" t="s">
        <v>106</v>
      </c>
      <c r="R213" s="83" t="s">
        <v>113</v>
      </c>
      <c r="S213" s="8"/>
      <c r="T213" s="8"/>
      <c r="U213" s="8"/>
      <c r="V213" s="5"/>
    </row>
    <row r="214" spans="1:22" x14ac:dyDescent="0.35">
      <c r="A214" s="84"/>
      <c r="B214" s="76" t="s">
        <v>82</v>
      </c>
      <c r="C214" s="54"/>
      <c r="D214" s="54"/>
      <c r="E214" s="54"/>
      <c r="F214" s="25"/>
      <c r="G214" s="25"/>
      <c r="H214" s="30"/>
      <c r="I214" s="30"/>
      <c r="J214" s="30"/>
      <c r="K214" s="30"/>
      <c r="L214" s="30"/>
      <c r="M214" s="30"/>
      <c r="N214" s="30"/>
      <c r="O214" s="30"/>
      <c r="P214" s="30"/>
      <c r="Q214" s="30">
        <v>0</v>
      </c>
      <c r="R214" s="85">
        <v>0</v>
      </c>
      <c r="S214" s="25"/>
      <c r="T214" s="79"/>
      <c r="U214" s="86"/>
      <c r="V214" s="5"/>
    </row>
    <row r="215" spans="1:22" x14ac:dyDescent="0.35">
      <c r="A215" s="84"/>
      <c r="B215" s="76" t="s">
        <v>152</v>
      </c>
      <c r="C215" s="54"/>
      <c r="D215" s="54"/>
      <c r="E215" s="54"/>
      <c r="F215" s="25"/>
      <c r="G215" s="25"/>
      <c r="H215" s="30"/>
      <c r="I215" s="30"/>
      <c r="J215" s="30"/>
      <c r="K215" s="30"/>
      <c r="L215" s="30"/>
      <c r="M215" s="30"/>
      <c r="N215" s="30"/>
      <c r="O215" s="30"/>
      <c r="P215" s="30"/>
      <c r="Q215" s="153">
        <f>+P255</f>
        <v>38</v>
      </c>
      <c r="R215" s="85">
        <f>+R255</f>
        <v>5997</v>
      </c>
      <c r="S215" s="25"/>
      <c r="T215" s="79"/>
      <c r="U215" s="86"/>
      <c r="V215" s="5"/>
    </row>
    <row r="216" spans="1:22" x14ac:dyDescent="0.35">
      <c r="A216" s="84"/>
      <c r="B216" s="76" t="s">
        <v>83</v>
      </c>
      <c r="C216" s="54"/>
      <c r="D216" s="54"/>
      <c r="E216" s="54"/>
      <c r="F216" s="25"/>
      <c r="G216" s="25"/>
      <c r="H216" s="30"/>
      <c r="I216" s="30"/>
      <c r="J216" s="30"/>
      <c r="K216" s="30"/>
      <c r="L216" s="30"/>
      <c r="M216" s="30"/>
      <c r="N216" s="30"/>
      <c r="O216" s="30"/>
      <c r="P216" s="30"/>
      <c r="Q216" s="30">
        <v>0</v>
      </c>
      <c r="R216" s="85">
        <v>0</v>
      </c>
      <c r="S216" s="25"/>
      <c r="T216" s="79"/>
      <c r="U216" s="86"/>
      <c r="V216" s="5"/>
    </row>
    <row r="217" spans="1:22" x14ac:dyDescent="0.35">
      <c r="A217" s="84"/>
      <c r="B217" s="122" t="s">
        <v>84</v>
      </c>
      <c r="C217" s="54"/>
      <c r="D217" s="54"/>
      <c r="E217" s="54"/>
      <c r="F217" s="25"/>
      <c r="G217" s="25"/>
      <c r="H217" s="25"/>
      <c r="I217" s="25"/>
      <c r="J217" s="25"/>
      <c r="K217" s="25"/>
      <c r="L217" s="25"/>
      <c r="M217" s="25"/>
      <c r="N217" s="25"/>
      <c r="O217" s="25"/>
      <c r="P217" s="25"/>
      <c r="Q217" s="25"/>
      <c r="R217" s="85">
        <v>0</v>
      </c>
      <c r="S217" s="25"/>
      <c r="T217" s="79"/>
      <c r="U217" s="86"/>
      <c r="V217" s="5"/>
    </row>
    <row r="218" spans="1:22" x14ac:dyDescent="0.35">
      <c r="A218" s="84"/>
      <c r="B218" s="122" t="s">
        <v>85</v>
      </c>
      <c r="C218" s="54"/>
      <c r="D218" s="54"/>
      <c r="E218" s="54"/>
      <c r="F218" s="25"/>
      <c r="G218" s="25"/>
      <c r="H218" s="25"/>
      <c r="I218" s="25"/>
      <c r="J218" s="25"/>
      <c r="K218" s="25"/>
      <c r="L218" s="25"/>
      <c r="M218" s="25"/>
      <c r="N218" s="25"/>
      <c r="O218" s="25"/>
      <c r="P218" s="25"/>
      <c r="Q218" s="25"/>
      <c r="R218" s="62" t="s">
        <v>114</v>
      </c>
      <c r="S218" s="25"/>
      <c r="T218" s="79"/>
      <c r="U218" s="86"/>
      <c r="V218" s="5"/>
    </row>
    <row r="219" spans="1:22" x14ac:dyDescent="0.35">
      <c r="A219" s="87"/>
      <c r="B219" s="122" t="s">
        <v>86</v>
      </c>
      <c r="C219" s="76"/>
      <c r="D219" s="76"/>
      <c r="E219" s="76"/>
      <c r="F219" s="76"/>
      <c r="G219" s="25"/>
      <c r="H219" s="25"/>
      <c r="I219" s="25"/>
      <c r="J219" s="25"/>
      <c r="K219" s="25"/>
      <c r="L219" s="25"/>
      <c r="M219" s="25"/>
      <c r="N219" s="25"/>
      <c r="O219" s="25"/>
      <c r="P219" s="25"/>
      <c r="Q219" s="25"/>
      <c r="R219" s="85"/>
      <c r="S219" s="25"/>
      <c r="T219" s="79"/>
      <c r="U219" s="88"/>
      <c r="V219" s="5"/>
    </row>
    <row r="220" spans="1:22" x14ac:dyDescent="0.35">
      <c r="A220" s="87"/>
      <c r="B220" s="132" t="s">
        <v>87</v>
      </c>
      <c r="C220" s="76"/>
      <c r="D220" s="76"/>
      <c r="E220" s="76"/>
      <c r="F220" s="76"/>
      <c r="G220" s="25"/>
      <c r="H220" s="25"/>
      <c r="I220" s="25"/>
      <c r="J220" s="25"/>
      <c r="K220" s="25"/>
      <c r="L220" s="25"/>
      <c r="M220" s="25"/>
      <c r="N220" s="25"/>
      <c r="O220" s="25"/>
      <c r="P220" s="25"/>
      <c r="Q220" s="30"/>
      <c r="R220" s="85">
        <f>+T165</f>
        <v>40</v>
      </c>
      <c r="S220" s="25"/>
      <c r="T220" s="79"/>
      <c r="U220" s="88"/>
      <c r="V220" s="5"/>
    </row>
    <row r="221" spans="1:22" x14ac:dyDescent="0.35">
      <c r="A221" s="84"/>
      <c r="B221" s="76" t="s">
        <v>88</v>
      </c>
      <c r="C221" s="54"/>
      <c r="D221" s="54"/>
      <c r="E221" s="54"/>
      <c r="F221" s="54"/>
      <c r="G221" s="25"/>
      <c r="H221" s="25"/>
      <c r="I221" s="25"/>
      <c r="J221" s="25"/>
      <c r="K221" s="25"/>
      <c r="L221" s="25"/>
      <c r="M221" s="25"/>
      <c r="N221" s="25"/>
      <c r="O221" s="25"/>
      <c r="P221" s="25"/>
      <c r="Q221" s="85"/>
      <c r="R221" s="85">
        <f>'May 07'!R221+R220</f>
        <v>128</v>
      </c>
      <c r="S221" s="25"/>
      <c r="T221" s="79"/>
      <c r="U221" s="88"/>
      <c r="V221" s="5"/>
    </row>
    <row r="222" spans="1:22" x14ac:dyDescent="0.35">
      <c r="A222" s="87"/>
      <c r="B222" s="122" t="s">
        <v>295</v>
      </c>
      <c r="C222" s="76"/>
      <c r="D222" s="76"/>
      <c r="E222" s="76"/>
      <c r="F222" s="76"/>
      <c r="G222" s="25"/>
      <c r="H222" s="25"/>
      <c r="I222" s="25"/>
      <c r="J222" s="25"/>
      <c r="K222" s="25"/>
      <c r="L222" s="25"/>
      <c r="M222" s="25"/>
      <c r="N222" s="25"/>
      <c r="O222" s="25"/>
      <c r="P222" s="25"/>
      <c r="Q222" s="30"/>
      <c r="R222" s="85"/>
      <c r="S222" s="25"/>
      <c r="T222" s="79"/>
      <c r="U222" s="88"/>
      <c r="V222" s="5"/>
    </row>
    <row r="223" spans="1:22" x14ac:dyDescent="0.35">
      <c r="A223" s="87"/>
      <c r="B223" s="76" t="s">
        <v>292</v>
      </c>
      <c r="C223" s="76"/>
      <c r="D223" s="76"/>
      <c r="E223" s="76"/>
      <c r="F223" s="76"/>
      <c r="G223" s="25"/>
      <c r="H223" s="25"/>
      <c r="I223" s="25"/>
      <c r="J223" s="25"/>
      <c r="K223" s="25"/>
      <c r="L223" s="25"/>
      <c r="M223" s="25"/>
      <c r="N223" s="25"/>
      <c r="O223" s="25"/>
      <c r="P223" s="25"/>
      <c r="Q223" s="30">
        <v>0</v>
      </c>
      <c r="R223" s="85">
        <v>0</v>
      </c>
      <c r="S223" s="25"/>
      <c r="T223" s="79"/>
      <c r="U223" s="88"/>
      <c r="V223" s="5"/>
    </row>
    <row r="224" spans="1:22" x14ac:dyDescent="0.35">
      <c r="A224" s="84"/>
      <c r="B224" s="76" t="s">
        <v>90</v>
      </c>
      <c r="C224" s="89"/>
      <c r="D224" s="89"/>
      <c r="E224" s="89"/>
      <c r="F224" s="90"/>
      <c r="G224" s="25"/>
      <c r="H224" s="25"/>
      <c r="I224" s="25"/>
      <c r="J224" s="25"/>
      <c r="K224" s="25"/>
      <c r="L224" s="25"/>
      <c r="M224" s="25"/>
      <c r="N224" s="25"/>
      <c r="O224" s="25"/>
      <c r="P224" s="25"/>
      <c r="Q224" s="25"/>
      <c r="R224" s="62">
        <v>0</v>
      </c>
      <c r="S224" s="25"/>
      <c r="T224" s="79"/>
      <c r="U224" s="88"/>
      <c r="V224" s="5"/>
    </row>
    <row r="225" spans="1:23" x14ac:dyDescent="0.35">
      <c r="A225" s="84"/>
      <c r="B225" s="76" t="s">
        <v>91</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122" t="s">
        <v>260</v>
      </c>
      <c r="C226" s="89"/>
      <c r="D226" s="89"/>
      <c r="E226" s="89"/>
      <c r="F226" s="90"/>
      <c r="G226" s="25"/>
      <c r="H226" s="25"/>
      <c r="I226" s="25"/>
      <c r="J226" s="25"/>
      <c r="K226" s="25"/>
      <c r="L226" s="25"/>
      <c r="M226" s="25"/>
      <c r="N226" s="25"/>
      <c r="O226" s="25"/>
      <c r="P226" s="25"/>
      <c r="Q226" s="25"/>
      <c r="R226" s="91"/>
      <c r="S226" s="25"/>
      <c r="T226" s="79"/>
      <c r="U226" s="88"/>
      <c r="V226" s="5"/>
    </row>
    <row r="227" spans="1:23" x14ac:dyDescent="0.35">
      <c r="A227" s="84"/>
      <c r="B227" s="76" t="s">
        <v>292</v>
      </c>
      <c r="C227" s="89"/>
      <c r="D227" s="89"/>
      <c r="E227" s="89"/>
      <c r="F227" s="90"/>
      <c r="G227" s="25"/>
      <c r="H227" s="25"/>
      <c r="I227" s="25"/>
      <c r="J227" s="25"/>
      <c r="K227" s="25"/>
      <c r="L227" s="25"/>
      <c r="M227" s="25"/>
      <c r="N227" s="25"/>
      <c r="O227" s="25"/>
      <c r="P227" s="25"/>
      <c r="Q227" s="30">
        <v>5</v>
      </c>
      <c r="R227" s="85">
        <v>624</v>
      </c>
      <c r="S227" s="25"/>
      <c r="T227" s="79"/>
      <c r="U227" s="88"/>
      <c r="V227" s="5"/>
    </row>
    <row r="228" spans="1:23" x14ac:dyDescent="0.35">
      <c r="A228" s="84"/>
      <c r="B228" s="76" t="s">
        <v>261</v>
      </c>
      <c r="C228" s="89"/>
      <c r="D228" s="89"/>
      <c r="E228" s="89"/>
      <c r="F228" s="90"/>
      <c r="G228" s="25"/>
      <c r="H228" s="25"/>
      <c r="I228" s="25"/>
      <c r="J228" s="25"/>
      <c r="K228" s="25"/>
      <c r="L228" s="25"/>
      <c r="M228" s="25"/>
      <c r="N228" s="25"/>
      <c r="O228" s="25"/>
      <c r="P228" s="25"/>
      <c r="Q228" s="25"/>
      <c r="R228" s="62">
        <v>7.1</v>
      </c>
      <c r="S228" s="25"/>
      <c r="T228" s="79"/>
      <c r="U228" s="88"/>
      <c r="V228" s="5"/>
    </row>
    <row r="229" spans="1:23" x14ac:dyDescent="0.35">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7.5" x14ac:dyDescent="0.35">
      <c r="A231" s="84"/>
      <c r="B231" s="150" t="s">
        <v>178</v>
      </c>
      <c r="C231" s="89"/>
      <c r="D231" s="89"/>
      <c r="E231" s="89"/>
      <c r="F231" s="90"/>
      <c r="G231" s="25"/>
      <c r="H231" s="25"/>
      <c r="I231" s="25"/>
      <c r="J231" s="25"/>
      <c r="K231" s="25"/>
      <c r="L231" s="25"/>
      <c r="M231" s="25"/>
      <c r="N231" s="151" t="s">
        <v>177</v>
      </c>
      <c r="O231" s="25"/>
      <c r="P231" s="25"/>
      <c r="Q231" s="25"/>
      <c r="R231" s="91"/>
      <c r="S231" s="25"/>
      <c r="T231" s="79"/>
      <c r="U231" s="88"/>
      <c r="V231" s="5"/>
    </row>
    <row r="232" spans="1:23" x14ac:dyDescent="0.35">
      <c r="A232" s="84"/>
      <c r="B232" s="76"/>
      <c r="C232" s="89"/>
      <c r="D232" s="89"/>
      <c r="E232" s="89"/>
      <c r="F232" s="90"/>
      <c r="G232" s="25"/>
      <c r="H232" s="25"/>
      <c r="I232" s="25"/>
      <c r="J232" s="25"/>
      <c r="K232" s="25"/>
      <c r="L232" s="25"/>
      <c r="M232" s="25"/>
      <c r="N232" s="25"/>
      <c r="O232" s="25"/>
      <c r="P232" s="25"/>
      <c r="Q232" s="25"/>
      <c r="R232" s="91"/>
      <c r="S232" s="25"/>
      <c r="T232" s="79"/>
      <c r="U232" s="88"/>
      <c r="V232" s="5"/>
    </row>
    <row r="233" spans="1:23" x14ac:dyDescent="0.35">
      <c r="A233" s="6"/>
      <c r="B233" s="14" t="s">
        <v>171</v>
      </c>
      <c r="C233" s="81"/>
      <c r="D233" s="81"/>
      <c r="E233" s="81"/>
      <c r="F233" s="82"/>
      <c r="G233" s="81"/>
      <c r="H233" s="17"/>
      <c r="I233" s="17"/>
      <c r="J233" s="17"/>
      <c r="K233" s="17"/>
      <c r="L233" s="17"/>
      <c r="M233" s="17"/>
      <c r="N233" s="17"/>
      <c r="O233" s="17"/>
      <c r="P233" s="83" t="s">
        <v>106</v>
      </c>
      <c r="Q233" s="17" t="s">
        <v>107</v>
      </c>
      <c r="R233" s="83" t="s">
        <v>115</v>
      </c>
      <c r="S233" s="17" t="s">
        <v>107</v>
      </c>
      <c r="T233" s="8"/>
      <c r="U233" s="92"/>
      <c r="V233" s="5"/>
    </row>
    <row r="234" spans="1:23" x14ac:dyDescent="0.35">
      <c r="A234" s="24"/>
      <c r="B234" s="54" t="s">
        <v>92</v>
      </c>
      <c r="C234" s="93"/>
      <c r="D234" s="93"/>
      <c r="E234" s="93"/>
      <c r="F234" s="25"/>
      <c r="G234" s="93"/>
      <c r="H234" s="93"/>
      <c r="I234" s="93"/>
      <c r="J234" s="93"/>
      <c r="K234" s="93"/>
      <c r="L234" s="93"/>
      <c r="M234" s="93"/>
      <c r="N234" s="93"/>
      <c r="O234" s="93"/>
      <c r="P234" s="54">
        <v>5930</v>
      </c>
      <c r="Q234" s="94">
        <f t="shared" ref="Q234:Q241" si="1">P234/$P$243</f>
        <v>0.98685305375270427</v>
      </c>
      <c r="R234" s="53">
        <v>803247</v>
      </c>
      <c r="S234" s="133">
        <f t="shared" ref="S234:S241" si="2">R234/$R$243</f>
        <v>0.9856843613980879</v>
      </c>
      <c r="T234" s="79"/>
      <c r="U234" s="88"/>
      <c r="V234" s="5"/>
    </row>
    <row r="235" spans="1:23" x14ac:dyDescent="0.35">
      <c r="A235" s="24"/>
      <c r="B235" s="54" t="s">
        <v>93</v>
      </c>
      <c r="C235" s="93"/>
      <c r="D235" s="93"/>
      <c r="E235" s="93"/>
      <c r="F235" s="25"/>
      <c r="G235" s="94"/>
      <c r="H235" s="93"/>
      <c r="I235" s="93"/>
      <c r="J235" s="93"/>
      <c r="K235" s="93"/>
      <c r="L235" s="93"/>
      <c r="M235" s="93"/>
      <c r="N235" s="93"/>
      <c r="O235" s="93"/>
      <c r="P235" s="54">
        <v>63</v>
      </c>
      <c r="Q235" s="94">
        <f t="shared" si="1"/>
        <v>1.0484273589615577E-2</v>
      </c>
      <c r="R235" s="53">
        <v>9308</v>
      </c>
      <c r="S235" s="133">
        <f t="shared" si="2"/>
        <v>1.142207818503325E-2</v>
      </c>
      <c r="T235" s="79"/>
      <c r="U235" s="88"/>
      <c r="V235" s="5"/>
      <c r="W235" s="109"/>
    </row>
    <row r="236" spans="1:23" x14ac:dyDescent="0.35">
      <c r="A236" s="24"/>
      <c r="B236" s="54" t="s">
        <v>94</v>
      </c>
      <c r="C236" s="93"/>
      <c r="D236" s="93"/>
      <c r="E236" s="93"/>
      <c r="F236" s="25"/>
      <c r="G236" s="94"/>
      <c r="H236" s="93"/>
      <c r="I236" s="93"/>
      <c r="J236" s="93"/>
      <c r="K236" s="93"/>
      <c r="L236" s="93"/>
      <c r="M236" s="93"/>
      <c r="N236" s="93"/>
      <c r="O236" s="93"/>
      <c r="P236" s="54">
        <v>14</v>
      </c>
      <c r="Q236" s="94">
        <f t="shared" si="1"/>
        <v>2.329838575470128E-3</v>
      </c>
      <c r="R236" s="53">
        <v>1993</v>
      </c>
      <c r="S236" s="133">
        <f t="shared" si="2"/>
        <v>2.4456598434434104E-3</v>
      </c>
      <c r="T236" s="79"/>
      <c r="U236" s="88"/>
      <c r="V236" s="5"/>
    </row>
    <row r="237" spans="1:23" x14ac:dyDescent="0.35">
      <c r="A237" s="24"/>
      <c r="B237" s="54" t="s">
        <v>164</v>
      </c>
      <c r="C237" s="93"/>
      <c r="D237" s="93"/>
      <c r="E237" s="93"/>
      <c r="F237" s="25"/>
      <c r="G237" s="94"/>
      <c r="H237" s="93"/>
      <c r="I237" s="93"/>
      <c r="J237" s="93"/>
      <c r="K237" s="93"/>
      <c r="L237" s="93"/>
      <c r="M237" s="93"/>
      <c r="N237" s="93"/>
      <c r="O237" s="93"/>
      <c r="P237" s="54">
        <v>0</v>
      </c>
      <c r="Q237" s="94">
        <f t="shared" si="1"/>
        <v>0</v>
      </c>
      <c r="R237" s="53">
        <v>0</v>
      </c>
      <c r="S237" s="133">
        <f t="shared" si="2"/>
        <v>0</v>
      </c>
      <c r="T237" s="79"/>
      <c r="U237" s="88"/>
      <c r="V237" s="5"/>
      <c r="W237" s="109"/>
    </row>
    <row r="238" spans="1:23" x14ac:dyDescent="0.35">
      <c r="A238" s="24"/>
      <c r="B238" s="54" t="s">
        <v>165</v>
      </c>
      <c r="C238" s="93"/>
      <c r="D238" s="93"/>
      <c r="E238" s="93"/>
      <c r="F238" s="25"/>
      <c r="G238" s="94"/>
      <c r="H238" s="93"/>
      <c r="I238" s="93"/>
      <c r="J238" s="93"/>
      <c r="K238" s="93"/>
      <c r="L238" s="93"/>
      <c r="M238" s="93"/>
      <c r="N238" s="93"/>
      <c r="O238" s="93"/>
      <c r="P238" s="54">
        <v>1</v>
      </c>
      <c r="Q238" s="94">
        <f t="shared" si="1"/>
        <v>1.6641704110500916E-4</v>
      </c>
      <c r="R238" s="53">
        <v>152</v>
      </c>
      <c r="S238" s="133">
        <f t="shared" si="2"/>
        <v>1.865229785265421E-4</v>
      </c>
      <c r="T238" s="79"/>
      <c r="U238" s="88"/>
      <c r="V238" s="5"/>
    </row>
    <row r="239" spans="1:23" x14ac:dyDescent="0.35">
      <c r="A239" s="24"/>
      <c r="B239" s="54" t="s">
        <v>166</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c r="W239" s="109"/>
    </row>
    <row r="240" spans="1:23" x14ac:dyDescent="0.35">
      <c r="A240" s="24"/>
      <c r="B240" s="54" t="s">
        <v>167</v>
      </c>
      <c r="C240" s="93"/>
      <c r="D240" s="93"/>
      <c r="E240" s="93"/>
      <c r="F240" s="25"/>
      <c r="G240" s="94"/>
      <c r="H240" s="93"/>
      <c r="I240" s="93"/>
      <c r="J240" s="93"/>
      <c r="K240" s="93"/>
      <c r="L240" s="93"/>
      <c r="M240" s="93"/>
      <c r="N240" s="93"/>
      <c r="O240" s="93"/>
      <c r="P240" s="54">
        <v>1</v>
      </c>
      <c r="Q240" s="94">
        <f t="shared" si="1"/>
        <v>1.6641704110500916E-4</v>
      </c>
      <c r="R240" s="53">
        <v>213</v>
      </c>
      <c r="S240" s="133">
        <f t="shared" si="2"/>
        <v>2.6137759490890439E-4</v>
      </c>
      <c r="T240" s="79"/>
      <c r="U240" s="88"/>
      <c r="V240" s="5"/>
    </row>
    <row r="241" spans="1:23" x14ac:dyDescent="0.35">
      <c r="A241" s="24"/>
      <c r="B241" s="54" t="s">
        <v>168</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c r="W241" s="109"/>
    </row>
    <row r="242" spans="1:23" x14ac:dyDescent="0.35">
      <c r="A242" s="24"/>
      <c r="B242" s="54"/>
      <c r="C242" s="93"/>
      <c r="D242" s="93"/>
      <c r="E242" s="93"/>
      <c r="F242" s="25"/>
      <c r="G242" s="94"/>
      <c r="H242" s="93"/>
      <c r="I242" s="93"/>
      <c r="J242" s="93"/>
      <c r="K242" s="93"/>
      <c r="L242" s="93"/>
      <c r="M242" s="93"/>
      <c r="N242" s="93"/>
      <c r="O242" s="93"/>
      <c r="P242" s="54"/>
      <c r="Q242" s="94"/>
      <c r="R242" s="53"/>
      <c r="S242" s="133"/>
      <c r="T242" s="79"/>
      <c r="U242" s="88"/>
      <c r="V242" s="5"/>
    </row>
    <row r="243" spans="1:23" x14ac:dyDescent="0.35">
      <c r="A243" s="24"/>
      <c r="B243" s="25"/>
      <c r="C243" s="25"/>
      <c r="D243" s="25"/>
      <c r="E243" s="25"/>
      <c r="F243" s="25"/>
      <c r="G243" s="25"/>
      <c r="H243" s="95"/>
      <c r="I243" s="95"/>
      <c r="J243" s="95"/>
      <c r="K243" s="95"/>
      <c r="L243" s="95"/>
      <c r="M243" s="95"/>
      <c r="N243" s="95"/>
      <c r="O243" s="95"/>
      <c r="P243" s="34">
        <f>SUM(P234:P242)</f>
        <v>6009</v>
      </c>
      <c r="Q243" s="133">
        <f>SUM(Q234:Q242)</f>
        <v>0.99999999999999989</v>
      </c>
      <c r="R243" s="53">
        <f>SUM(R234:R242)</f>
        <v>814913</v>
      </c>
      <c r="S243" s="133">
        <f>SUM(S234:S242)</f>
        <v>0.99999999999999989</v>
      </c>
      <c r="T243" s="25"/>
      <c r="U243" s="25"/>
      <c r="V243" s="5"/>
    </row>
    <row r="244" spans="1:23" x14ac:dyDescent="0.35">
      <c r="A244" s="24"/>
      <c r="B244" s="25"/>
      <c r="C244" s="25"/>
      <c r="D244" s="25"/>
      <c r="E244" s="25"/>
      <c r="F244" s="25"/>
      <c r="G244" s="25"/>
      <c r="H244" s="95"/>
      <c r="I244" s="95"/>
      <c r="J244" s="95"/>
      <c r="K244" s="95"/>
      <c r="L244" s="95"/>
      <c r="M244" s="95"/>
      <c r="N244" s="95"/>
      <c r="O244" s="95"/>
      <c r="P244" s="34"/>
      <c r="Q244" s="133"/>
      <c r="R244" s="53"/>
      <c r="S244" s="133"/>
      <c r="T244" s="25"/>
      <c r="U244" s="25"/>
      <c r="V244" s="5"/>
    </row>
    <row r="245" spans="1:23" x14ac:dyDescent="0.35">
      <c r="A245" s="142"/>
      <c r="B245" s="14" t="s">
        <v>275</v>
      </c>
      <c r="C245" s="81"/>
      <c r="D245" s="81"/>
      <c r="E245" s="81"/>
      <c r="F245" s="82"/>
      <c r="G245" s="81"/>
      <c r="H245" s="17"/>
      <c r="I245" s="17"/>
      <c r="J245" s="17"/>
      <c r="K245" s="17"/>
      <c r="L245" s="17"/>
      <c r="M245" s="17"/>
      <c r="N245" s="17"/>
      <c r="O245" s="17"/>
      <c r="P245" s="83" t="s">
        <v>106</v>
      </c>
      <c r="Q245" s="17" t="s">
        <v>107</v>
      </c>
      <c r="R245" s="83" t="s">
        <v>115</v>
      </c>
      <c r="S245" s="17" t="s">
        <v>107</v>
      </c>
      <c r="T245" s="140"/>
      <c r="U245" s="141"/>
      <c r="V245" s="5"/>
    </row>
    <row r="246" spans="1:23" x14ac:dyDescent="0.35">
      <c r="A246" s="24"/>
      <c r="B246" s="54" t="s">
        <v>92</v>
      </c>
      <c r="C246" s="93"/>
      <c r="D246" s="93"/>
      <c r="E246" s="93"/>
      <c r="F246" s="25"/>
      <c r="G246" s="93"/>
      <c r="H246" s="93"/>
      <c r="I246" s="93"/>
      <c r="J246" s="93"/>
      <c r="K246" s="93"/>
      <c r="L246" s="93"/>
      <c r="M246" s="93"/>
      <c r="N246" s="93"/>
      <c r="O246" s="93"/>
      <c r="P246" s="54">
        <v>3</v>
      </c>
      <c r="Q246" s="94">
        <f t="shared" ref="Q246:Q253" si="3">P246/$P$255</f>
        <v>7.8947368421052627E-2</v>
      </c>
      <c r="R246" s="53">
        <v>155</v>
      </c>
      <c r="S246" s="133">
        <f t="shared" ref="S246:S253" si="4">R246/$R$255</f>
        <v>2.5846256461564115E-2</v>
      </c>
      <c r="T246" s="25"/>
      <c r="U246" s="25"/>
      <c r="V246" s="5"/>
    </row>
    <row r="247" spans="1:23" x14ac:dyDescent="0.35">
      <c r="A247" s="24"/>
      <c r="B247" s="54" t="s">
        <v>93</v>
      </c>
      <c r="C247" s="93"/>
      <c r="D247" s="93"/>
      <c r="E247" s="93"/>
      <c r="F247" s="25"/>
      <c r="G247" s="94"/>
      <c r="H247" s="93"/>
      <c r="I247" s="93"/>
      <c r="J247" s="93"/>
      <c r="K247" s="93"/>
      <c r="L247" s="93"/>
      <c r="M247" s="93"/>
      <c r="N247" s="93"/>
      <c r="O247" s="93"/>
      <c r="P247" s="54">
        <v>1</v>
      </c>
      <c r="Q247" s="94">
        <f t="shared" si="3"/>
        <v>2.6315789473684209E-2</v>
      </c>
      <c r="R247" s="53">
        <v>251</v>
      </c>
      <c r="S247" s="133">
        <f t="shared" si="4"/>
        <v>4.1854260463565114E-2</v>
      </c>
      <c r="T247" s="25"/>
      <c r="U247" s="25"/>
      <c r="V247" s="5"/>
    </row>
    <row r="248" spans="1:23" x14ac:dyDescent="0.35">
      <c r="A248" s="24"/>
      <c r="B248" s="54" t="s">
        <v>94</v>
      </c>
      <c r="C248" s="93"/>
      <c r="D248" s="93"/>
      <c r="E248" s="93"/>
      <c r="F248" s="25"/>
      <c r="G248" s="94"/>
      <c r="H248" s="93"/>
      <c r="I248" s="93"/>
      <c r="J248" s="93"/>
      <c r="K248" s="93"/>
      <c r="L248" s="93"/>
      <c r="M248" s="93"/>
      <c r="N248" s="93"/>
      <c r="O248" s="93"/>
      <c r="P248" s="54">
        <v>2</v>
      </c>
      <c r="Q248" s="94">
        <f t="shared" si="3"/>
        <v>5.2631578947368418E-2</v>
      </c>
      <c r="R248" s="53">
        <v>202</v>
      </c>
      <c r="S248" s="133">
        <f t="shared" si="4"/>
        <v>3.3683508420877105E-2</v>
      </c>
      <c r="T248" s="25"/>
      <c r="U248" s="25"/>
      <c r="V248" s="5"/>
    </row>
    <row r="249" spans="1:23" x14ac:dyDescent="0.35">
      <c r="A249" s="24"/>
      <c r="B249" s="54" t="s">
        <v>164</v>
      </c>
      <c r="C249" s="93"/>
      <c r="D249" s="93"/>
      <c r="E249" s="93"/>
      <c r="F249" s="25"/>
      <c r="G249" s="94"/>
      <c r="H249" s="93"/>
      <c r="I249" s="93"/>
      <c r="J249" s="93"/>
      <c r="K249" s="93"/>
      <c r="L249" s="93"/>
      <c r="M249" s="93"/>
      <c r="N249" s="93"/>
      <c r="O249" s="93"/>
      <c r="P249" s="54">
        <v>2</v>
      </c>
      <c r="Q249" s="94">
        <f t="shared" si="3"/>
        <v>5.2631578947368418E-2</v>
      </c>
      <c r="R249" s="53">
        <v>202</v>
      </c>
      <c r="S249" s="133">
        <f t="shared" si="4"/>
        <v>3.3683508420877105E-2</v>
      </c>
      <c r="T249" s="25"/>
      <c r="U249" s="25"/>
      <c r="V249" s="5"/>
    </row>
    <row r="250" spans="1:23" x14ac:dyDescent="0.35">
      <c r="A250" s="24"/>
      <c r="B250" s="54" t="s">
        <v>165</v>
      </c>
      <c r="C250" s="93"/>
      <c r="D250" s="93"/>
      <c r="E250" s="93"/>
      <c r="F250" s="25"/>
      <c r="G250" s="94"/>
      <c r="H250" s="93"/>
      <c r="I250" s="93"/>
      <c r="J250" s="93"/>
      <c r="K250" s="93"/>
      <c r="L250" s="93"/>
      <c r="M250" s="93"/>
      <c r="N250" s="93"/>
      <c r="O250" s="93"/>
      <c r="P250" s="54">
        <v>3</v>
      </c>
      <c r="Q250" s="94">
        <f t="shared" si="3"/>
        <v>7.8947368421052627E-2</v>
      </c>
      <c r="R250" s="53">
        <v>294</v>
      </c>
      <c r="S250" s="133">
        <f t="shared" si="4"/>
        <v>4.9024512256128062E-2</v>
      </c>
      <c r="T250" s="25"/>
      <c r="U250" s="25"/>
      <c r="V250" s="5"/>
    </row>
    <row r="251" spans="1:23" x14ac:dyDescent="0.35">
      <c r="A251" s="24"/>
      <c r="B251" s="54" t="s">
        <v>166</v>
      </c>
      <c r="C251" s="93"/>
      <c r="D251" s="93"/>
      <c r="E251" s="93"/>
      <c r="F251" s="25"/>
      <c r="G251" s="94"/>
      <c r="H251" s="93"/>
      <c r="I251" s="93"/>
      <c r="J251" s="93"/>
      <c r="K251" s="93"/>
      <c r="L251" s="93"/>
      <c r="M251" s="93"/>
      <c r="N251" s="93"/>
      <c r="O251" s="93"/>
      <c r="P251" s="54">
        <v>7</v>
      </c>
      <c r="Q251" s="94">
        <f t="shared" si="3"/>
        <v>0.18421052631578946</v>
      </c>
      <c r="R251" s="53">
        <v>1031</v>
      </c>
      <c r="S251" s="133">
        <f t="shared" si="4"/>
        <v>0.17191929297982325</v>
      </c>
      <c r="T251" s="25"/>
      <c r="U251" s="25"/>
      <c r="V251" s="5"/>
    </row>
    <row r="252" spans="1:23" x14ac:dyDescent="0.35">
      <c r="A252" s="24"/>
      <c r="B252" s="54" t="s">
        <v>167</v>
      </c>
      <c r="C252" s="93"/>
      <c r="D252" s="93"/>
      <c r="E252" s="93"/>
      <c r="F252" s="25"/>
      <c r="G252" s="94"/>
      <c r="H252" s="93"/>
      <c r="I252" s="93"/>
      <c r="J252" s="93"/>
      <c r="K252" s="93"/>
      <c r="L252" s="93"/>
      <c r="M252" s="93"/>
      <c r="N252" s="93"/>
      <c r="O252" s="93"/>
      <c r="P252" s="54">
        <v>10</v>
      </c>
      <c r="Q252" s="94">
        <f t="shared" si="3"/>
        <v>0.26315789473684209</v>
      </c>
      <c r="R252" s="53">
        <v>2269</v>
      </c>
      <c r="S252" s="133">
        <f t="shared" si="4"/>
        <v>0.37835584458896115</v>
      </c>
      <c r="T252" s="25"/>
      <c r="U252" s="25"/>
      <c r="V252" s="5"/>
    </row>
    <row r="253" spans="1:23" x14ac:dyDescent="0.35">
      <c r="A253" s="24"/>
      <c r="B253" s="54" t="s">
        <v>168</v>
      </c>
      <c r="C253" s="93"/>
      <c r="D253" s="93"/>
      <c r="E253" s="93"/>
      <c r="F253" s="25"/>
      <c r="G253" s="94"/>
      <c r="H253" s="93"/>
      <c r="I253" s="93"/>
      <c r="J253" s="93"/>
      <c r="K253" s="93"/>
      <c r="L253" s="93"/>
      <c r="M253" s="93"/>
      <c r="N253" s="93"/>
      <c r="O253" s="93"/>
      <c r="P253" s="54">
        <v>10</v>
      </c>
      <c r="Q253" s="94">
        <f t="shared" si="3"/>
        <v>0.26315789473684209</v>
      </c>
      <c r="R253" s="53">
        <v>1593</v>
      </c>
      <c r="S253" s="133">
        <f t="shared" si="4"/>
        <v>0.26563281640820408</v>
      </c>
      <c r="T253" s="25"/>
      <c r="U253" s="25"/>
      <c r="V253" s="5"/>
    </row>
    <row r="254" spans="1:23" x14ac:dyDescent="0.35">
      <c r="A254" s="24"/>
      <c r="B254" s="54"/>
      <c r="C254" s="93"/>
      <c r="D254" s="93"/>
      <c r="E254" s="93"/>
      <c r="F254" s="25"/>
      <c r="G254" s="94"/>
      <c r="H254" s="93"/>
      <c r="I254" s="93"/>
      <c r="J254" s="93"/>
      <c r="K254" s="93"/>
      <c r="L254" s="93"/>
      <c r="M254" s="93"/>
      <c r="N254" s="93"/>
      <c r="O254" s="93"/>
      <c r="P254" s="54"/>
      <c r="Q254" s="94"/>
      <c r="R254" s="53"/>
      <c r="S254" s="133"/>
      <c r="T254" s="25"/>
      <c r="U254" s="25"/>
      <c r="V254" s="5"/>
    </row>
    <row r="255" spans="1:23" x14ac:dyDescent="0.35">
      <c r="A255" s="24"/>
      <c r="B255" s="25"/>
      <c r="C255" s="25"/>
      <c r="D255" s="25"/>
      <c r="E255" s="25"/>
      <c r="F255" s="25"/>
      <c r="G255" s="25"/>
      <c r="H255" s="95"/>
      <c r="I255" s="95"/>
      <c r="J255" s="95"/>
      <c r="K255" s="95"/>
      <c r="L255" s="95"/>
      <c r="M255" s="95"/>
      <c r="N255" s="95"/>
      <c r="O255" s="95"/>
      <c r="P255" s="34">
        <f>SUM(P246:P254)</f>
        <v>38</v>
      </c>
      <c r="Q255" s="133">
        <f>SUM(Q246:Q254)</f>
        <v>1</v>
      </c>
      <c r="R255" s="53">
        <f>SUM(R246:R254)</f>
        <v>5997</v>
      </c>
      <c r="S255" s="133">
        <f>SUM(S246:S254)</f>
        <v>1</v>
      </c>
      <c r="T255" s="25"/>
      <c r="U255" s="25"/>
      <c r="V255" s="5"/>
    </row>
    <row r="256" spans="1:23" x14ac:dyDescent="0.35">
      <c r="A256" s="24"/>
      <c r="B256" s="25"/>
      <c r="C256" s="25"/>
      <c r="D256" s="25"/>
      <c r="E256" s="25"/>
      <c r="F256" s="25"/>
      <c r="G256" s="25"/>
      <c r="H256" s="95"/>
      <c r="I256" s="95"/>
      <c r="J256" s="95"/>
      <c r="K256" s="95"/>
      <c r="L256" s="95"/>
      <c r="M256" s="95"/>
      <c r="N256" s="95"/>
      <c r="O256" s="95"/>
      <c r="P256" s="34"/>
      <c r="Q256" s="133"/>
      <c r="R256" s="53"/>
      <c r="S256" s="133"/>
      <c r="T256" s="25"/>
      <c r="U256" s="25"/>
      <c r="V256" s="5"/>
    </row>
    <row r="257" spans="1:22" x14ac:dyDescent="0.35">
      <c r="A257" s="142"/>
      <c r="B257" s="14" t="s">
        <v>173</v>
      </c>
      <c r="C257" s="140"/>
      <c r="D257" s="140"/>
      <c r="E257" s="140"/>
      <c r="F257" s="140"/>
      <c r="G257" s="140"/>
      <c r="H257" s="146"/>
      <c r="I257" s="146"/>
      <c r="J257" s="146"/>
      <c r="K257" s="146"/>
      <c r="L257" s="146"/>
      <c r="M257" s="146"/>
      <c r="N257" s="146"/>
      <c r="O257" s="146"/>
      <c r="P257" s="83" t="s">
        <v>106</v>
      </c>
      <c r="Q257" s="17" t="s">
        <v>107</v>
      </c>
      <c r="R257" s="83" t="s">
        <v>115</v>
      </c>
      <c r="S257" s="17" t="s">
        <v>107</v>
      </c>
      <c r="T257" s="140"/>
      <c r="U257" s="141"/>
      <c r="V257" s="5"/>
    </row>
    <row r="258" spans="1:22" x14ac:dyDescent="0.35">
      <c r="A258" s="24"/>
      <c r="B258" s="54" t="s">
        <v>92</v>
      </c>
      <c r="C258" s="25"/>
      <c r="D258" s="25"/>
      <c r="E258" s="25"/>
      <c r="F258" s="25"/>
      <c r="G258" s="25"/>
      <c r="H258" s="95"/>
      <c r="I258" s="95"/>
      <c r="J258" s="95"/>
      <c r="K258" s="95"/>
      <c r="L258" s="95"/>
      <c r="M258" s="95"/>
      <c r="N258" s="95"/>
      <c r="O258" s="95"/>
      <c r="P258" s="54">
        <v>0</v>
      </c>
      <c r="Q258" s="94">
        <v>0</v>
      </c>
      <c r="R258" s="53">
        <v>0</v>
      </c>
      <c r="S258" s="133">
        <v>0</v>
      </c>
      <c r="T258" s="25"/>
      <c r="U258" s="25"/>
      <c r="V258" s="5"/>
    </row>
    <row r="259" spans="1:22" x14ac:dyDescent="0.35">
      <c r="A259" s="24"/>
      <c r="B259" s="54" t="s">
        <v>93</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94</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164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165</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166</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167</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168</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c r="C266" s="25"/>
      <c r="D266" s="25"/>
      <c r="E266" s="25"/>
      <c r="F266" s="25"/>
      <c r="G266" s="25"/>
      <c r="H266" s="95"/>
      <c r="I266" s="95"/>
      <c r="J266" s="95"/>
      <c r="K266" s="95"/>
      <c r="L266" s="95"/>
      <c r="M266" s="95"/>
      <c r="N266" s="95"/>
      <c r="O266" s="95"/>
      <c r="P266" s="54"/>
      <c r="Q266" s="94"/>
      <c r="R266" s="53"/>
      <c r="S266" s="133"/>
      <c r="T266" s="25"/>
      <c r="U266" s="25"/>
      <c r="V266" s="5"/>
    </row>
    <row r="267" spans="1:22" x14ac:dyDescent="0.35">
      <c r="A267" s="24"/>
      <c r="B267" s="25" t="s">
        <v>121</v>
      </c>
      <c r="C267" s="25"/>
      <c r="D267" s="25"/>
      <c r="E267" s="25"/>
      <c r="F267" s="25"/>
      <c r="G267" s="25"/>
      <c r="H267" s="95"/>
      <c r="I267" s="95"/>
      <c r="J267" s="95"/>
      <c r="K267" s="95"/>
      <c r="L267" s="95"/>
      <c r="M267" s="95"/>
      <c r="N267" s="95"/>
      <c r="O267" s="95"/>
      <c r="P267" s="34">
        <f>SUM(P258:P265)</f>
        <v>0</v>
      </c>
      <c r="Q267" s="94">
        <f>SUM(Q258:Q265)</f>
        <v>0</v>
      </c>
      <c r="R267" s="53">
        <f>SUM(R258:R265)</f>
        <v>0</v>
      </c>
      <c r="S267" s="133">
        <f>SUM(S258:S265)</f>
        <v>0</v>
      </c>
      <c r="T267" s="25"/>
      <c r="U267" s="25"/>
      <c r="V267" s="5"/>
    </row>
    <row r="268" spans="1:22" x14ac:dyDescent="0.35">
      <c r="A268" s="24"/>
      <c r="B268" s="25"/>
      <c r="C268" s="25"/>
      <c r="D268" s="25"/>
      <c r="E268" s="25"/>
      <c r="F268" s="25"/>
      <c r="G268" s="25"/>
      <c r="H268" s="95"/>
      <c r="I268" s="95"/>
      <c r="J268" s="95"/>
      <c r="K268" s="95"/>
      <c r="L268" s="95"/>
      <c r="M268" s="95"/>
      <c r="N268" s="95"/>
      <c r="O268" s="95"/>
      <c r="P268" s="34"/>
      <c r="Q268" s="133"/>
      <c r="R268" s="53"/>
      <c r="S268" s="133"/>
      <c r="T268" s="25"/>
      <c r="U268" s="25"/>
      <c r="V268" s="5"/>
    </row>
    <row r="269" spans="1:22" x14ac:dyDescent="0.35">
      <c r="A269" s="24"/>
      <c r="B269" s="143" t="s">
        <v>174</v>
      </c>
      <c r="C269" s="25"/>
      <c r="D269" s="25"/>
      <c r="E269" s="25"/>
      <c r="F269" s="25"/>
      <c r="G269" s="25"/>
      <c r="H269" s="95"/>
      <c r="I269" s="95"/>
      <c r="J269" s="95"/>
      <c r="K269" s="95"/>
      <c r="L269" s="95"/>
      <c r="M269" s="95"/>
      <c r="N269" s="95"/>
      <c r="O269" s="95"/>
      <c r="P269" s="162">
        <f>P267+P255+P243</f>
        <v>6047</v>
      </c>
      <c r="Q269" s="144"/>
      <c r="R269" s="145">
        <f>+R267+R255+R243</f>
        <v>820910</v>
      </c>
      <c r="S269" s="144"/>
      <c r="T269" s="25"/>
      <c r="U269" s="25"/>
      <c r="V269" s="5"/>
    </row>
    <row r="270" spans="1:22" x14ac:dyDescent="0.35">
      <c r="A270" s="24"/>
      <c r="B270" s="25"/>
      <c r="C270" s="25"/>
      <c r="D270" s="25"/>
      <c r="E270" s="25"/>
      <c r="F270" s="25"/>
      <c r="G270" s="25"/>
      <c r="H270" s="95"/>
      <c r="I270" s="95"/>
      <c r="J270" s="95"/>
      <c r="K270" s="95"/>
      <c r="L270" s="95"/>
      <c r="M270" s="95"/>
      <c r="N270" s="95"/>
      <c r="O270" s="95"/>
      <c r="P270" s="95"/>
      <c r="Q270" s="95"/>
      <c r="R270" s="53"/>
      <c r="S270" s="95"/>
      <c r="T270" s="25"/>
      <c r="U270" s="25"/>
      <c r="V270" s="5"/>
    </row>
    <row r="271" spans="1:22" x14ac:dyDescent="0.35">
      <c r="A271" s="6"/>
      <c r="B271" s="8"/>
      <c r="C271" s="8"/>
      <c r="D271" s="8"/>
      <c r="E271" s="8"/>
      <c r="F271" s="8"/>
      <c r="G271" s="8"/>
      <c r="H271" s="96"/>
      <c r="I271" s="96"/>
      <c r="J271" s="96"/>
      <c r="K271" s="96"/>
      <c r="L271" s="96"/>
      <c r="M271" s="96"/>
      <c r="N271" s="96"/>
      <c r="O271" s="96"/>
      <c r="P271" s="96"/>
      <c r="Q271" s="96"/>
      <c r="R271" s="97"/>
      <c r="S271" s="96"/>
      <c r="T271" s="8"/>
      <c r="U271" s="8"/>
      <c r="V271" s="5"/>
    </row>
    <row r="272" spans="1:22" x14ac:dyDescent="0.35">
      <c r="A272" s="168"/>
      <c r="B272" s="14" t="s">
        <v>95</v>
      </c>
      <c r="C272" s="15"/>
      <c r="D272" s="15"/>
      <c r="E272" s="15"/>
      <c r="F272" s="17" t="s">
        <v>101</v>
      </c>
      <c r="G272" s="15"/>
      <c r="H272" s="14" t="s">
        <v>103</v>
      </c>
      <c r="I272" s="163"/>
      <c r="J272" s="163"/>
      <c r="K272" s="163"/>
      <c r="L272" s="163"/>
      <c r="M272" s="163"/>
      <c r="N272" s="163"/>
      <c r="O272" s="163"/>
      <c r="P272" s="163"/>
      <c r="Q272" s="163"/>
      <c r="R272" s="163"/>
      <c r="S272" s="163"/>
      <c r="T272" s="163"/>
      <c r="U272" s="163"/>
      <c r="V272" s="5"/>
    </row>
    <row r="273" spans="1:22" x14ac:dyDescent="0.35">
      <c r="A273" s="168"/>
      <c r="B273" s="163"/>
      <c r="C273" s="8"/>
      <c r="D273" s="8"/>
      <c r="E273" s="8"/>
      <c r="F273" s="8"/>
      <c r="G273" s="8"/>
      <c r="H273" s="8"/>
      <c r="I273" s="163"/>
      <c r="J273" s="163"/>
      <c r="K273" s="163"/>
      <c r="L273" s="163"/>
      <c r="M273" s="163"/>
      <c r="N273" s="163"/>
      <c r="O273" s="163"/>
      <c r="P273" s="163"/>
      <c r="Q273" s="163"/>
      <c r="R273" s="163"/>
      <c r="S273" s="163"/>
      <c r="T273" s="163"/>
      <c r="U273" s="163"/>
      <c r="V273" s="5"/>
    </row>
    <row r="274" spans="1:22" x14ac:dyDescent="0.35">
      <c r="A274" s="168"/>
      <c r="B274" s="13" t="s">
        <v>96</v>
      </c>
      <c r="C274" s="13"/>
      <c r="D274" s="13"/>
      <c r="E274" s="13"/>
      <c r="F274" s="131" t="s">
        <v>155</v>
      </c>
      <c r="G274" s="13"/>
      <c r="H274" s="13" t="s">
        <v>160</v>
      </c>
      <c r="I274" s="163"/>
      <c r="J274" s="163"/>
      <c r="K274" s="163"/>
      <c r="L274" s="163"/>
      <c r="M274" s="163"/>
      <c r="N274" s="163"/>
      <c r="O274" s="163"/>
      <c r="P274" s="163"/>
      <c r="Q274" s="163"/>
      <c r="R274" s="163"/>
      <c r="S274" s="163"/>
      <c r="T274" s="163"/>
      <c r="U274" s="163"/>
      <c r="V274" s="5"/>
    </row>
    <row r="275" spans="1:22" x14ac:dyDescent="0.35">
      <c r="A275" s="168"/>
      <c r="B275" s="13" t="s">
        <v>277</v>
      </c>
      <c r="C275" s="13"/>
      <c r="D275" s="13"/>
      <c r="E275" s="13"/>
      <c r="F275" s="131" t="s">
        <v>278</v>
      </c>
      <c r="G275" s="13"/>
      <c r="H275" s="13" t="s">
        <v>279</v>
      </c>
      <c r="I275" s="163"/>
      <c r="J275" s="163"/>
      <c r="K275" s="163"/>
      <c r="L275" s="163"/>
      <c r="M275" s="163"/>
      <c r="N275" s="163"/>
      <c r="O275" s="163"/>
      <c r="P275" s="163"/>
      <c r="Q275" s="163"/>
      <c r="R275" s="163"/>
      <c r="S275" s="163"/>
      <c r="T275" s="163"/>
      <c r="U275" s="163"/>
      <c r="V275" s="5"/>
    </row>
    <row r="276" spans="1:22" x14ac:dyDescent="0.35">
      <c r="A276" s="168"/>
      <c r="B276" s="13" t="s">
        <v>97</v>
      </c>
      <c r="C276" s="13"/>
      <c r="D276" s="13"/>
      <c r="E276" s="13"/>
      <c r="F276" s="131" t="s">
        <v>154</v>
      </c>
      <c r="G276" s="13"/>
      <c r="H276" s="13" t="s">
        <v>161</v>
      </c>
      <c r="I276" s="163"/>
      <c r="J276" s="163"/>
      <c r="K276" s="163"/>
      <c r="L276" s="163"/>
      <c r="M276" s="163"/>
      <c r="N276" s="163"/>
      <c r="O276" s="163"/>
      <c r="P276" s="163"/>
      <c r="Q276" s="163"/>
      <c r="R276" s="163"/>
      <c r="S276" s="163"/>
      <c r="T276" s="163"/>
      <c r="U276" s="163"/>
      <c r="V276" s="5"/>
    </row>
    <row r="277" spans="1:22" x14ac:dyDescent="0.35">
      <c r="A277" s="168"/>
      <c r="B277" s="13"/>
      <c r="C277" s="13"/>
      <c r="D277" s="13"/>
      <c r="E277" s="13"/>
      <c r="F277" s="13"/>
      <c r="G277" s="99"/>
      <c r="H277" s="163"/>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ht="18" thickBot="1" x14ac:dyDescent="0.4">
      <c r="A279" s="168"/>
      <c r="B279" s="49" t="str">
        <f>B195</f>
        <v>PM10 INVESTOR REPORT QUARTER ENDING AUGUST 2007</v>
      </c>
      <c r="C279" s="13"/>
      <c r="D279" s="13"/>
      <c r="E279" s="13"/>
      <c r="F279" s="13"/>
      <c r="G279" s="99"/>
      <c r="H279" s="163"/>
      <c r="I279" s="163"/>
      <c r="J279" s="163"/>
      <c r="K279" s="163"/>
      <c r="L279" s="163"/>
      <c r="M279" s="163"/>
      <c r="N279" s="163"/>
      <c r="O279" s="163"/>
      <c r="P279" s="163"/>
      <c r="Q279" s="163"/>
      <c r="R279" s="163"/>
      <c r="S279" s="163"/>
      <c r="T279" s="163"/>
      <c r="U279" s="163"/>
      <c r="V279" s="5"/>
    </row>
    <row r="280" spans="1:22" x14ac:dyDescent="0.35">
      <c r="A280" s="100"/>
      <c r="B280" s="100"/>
      <c r="C280" s="100"/>
      <c r="D280" s="100"/>
      <c r="E280" s="100"/>
      <c r="F280" s="100"/>
      <c r="G280" s="100"/>
      <c r="H280" s="100"/>
      <c r="I280" s="100"/>
      <c r="J280" s="100"/>
      <c r="K280" s="100"/>
      <c r="L280" s="100"/>
      <c r="M280" s="100"/>
      <c r="N280" s="100"/>
      <c r="O280" s="100"/>
      <c r="P280" s="100"/>
      <c r="Q280" s="100"/>
      <c r="R280" s="100"/>
      <c r="S280" s="100"/>
      <c r="T280" s="100"/>
      <c r="U280" s="100"/>
    </row>
  </sheetData>
  <phoneticPr fontId="0" type="noConversion"/>
  <hyperlinks>
    <hyperlink ref="J9" r:id="rId1" xr:uid="{00000000-0004-0000-0600-000000000000}"/>
    <hyperlink ref="N231" r:id="rId2" xr:uid="{00000000-0004-0000-0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5" max="14" man="1"/>
    <brk id="195"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89CB31"/>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0.57620000000000005</v>
      </c>
      <c r="R16" s="17" t="s">
        <v>147</v>
      </c>
      <c r="S16" s="138">
        <v>0.42380000000000001</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39437</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787230.73</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580447.12</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451652.87707280001</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820909.87707279995</v>
      </c>
      <c r="U35" s="34"/>
      <c r="V35" s="5"/>
    </row>
    <row r="36" spans="1:22" x14ac:dyDescent="0.35">
      <c r="A36" s="28"/>
      <c r="B36" s="29" t="s">
        <v>298</v>
      </c>
      <c r="C36" s="126"/>
      <c r="D36" s="35">
        <f>D37*D34</f>
        <v>333016.2324032</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702273.2324032</v>
      </c>
      <c r="U36" s="34"/>
      <c r="V36" s="5"/>
    </row>
    <row r="37" spans="1:22" x14ac:dyDescent="0.35">
      <c r="A37" s="24"/>
      <c r="B37" s="122" t="s">
        <v>137</v>
      </c>
      <c r="C37" s="25"/>
      <c r="D37" s="170">
        <v>0.52767920000000001</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0.71566430000000003</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4.7418799999999997E-2</v>
      </c>
      <c r="E40" s="25"/>
      <c r="F40" s="38">
        <v>6.9112499999999993E-2</v>
      </c>
      <c r="G40" s="39"/>
      <c r="H40" s="38">
        <v>4.8899999999999999E-2</v>
      </c>
      <c r="I40" s="39"/>
      <c r="J40" s="38">
        <v>7.0212499999999997E-2</v>
      </c>
      <c r="K40" s="39"/>
      <c r="L40" s="38">
        <v>0.05</v>
      </c>
      <c r="M40" s="39"/>
      <c r="N40" s="38">
        <v>7.3012499999999994E-2</v>
      </c>
      <c r="O40" s="39"/>
      <c r="P40" s="38">
        <v>5.28E-2</v>
      </c>
      <c r="Q40" s="39"/>
      <c r="R40" s="38"/>
      <c r="S40" s="164"/>
      <c r="T40" s="30"/>
      <c r="U40" s="25"/>
      <c r="V40" s="5"/>
    </row>
    <row r="41" spans="1:22" x14ac:dyDescent="0.35">
      <c r="A41" s="24"/>
      <c r="B41" s="25" t="s">
        <v>13</v>
      </c>
      <c r="C41" s="25"/>
      <c r="D41" s="38">
        <v>5.5912499999999997E-2</v>
      </c>
      <c r="E41" s="25"/>
      <c r="F41" s="38">
        <v>6.0100000000000001E-2</v>
      </c>
      <c r="G41" s="39"/>
      <c r="H41" s="38">
        <v>4.3049999999999998E-2</v>
      </c>
      <c r="I41" s="39"/>
      <c r="J41" s="38">
        <v>6.1199999999999997E-2</v>
      </c>
      <c r="K41" s="39"/>
      <c r="L41" s="38">
        <v>4.4150000000000002E-2</v>
      </c>
      <c r="M41" s="39"/>
      <c r="N41" s="38">
        <v>6.4000000000000001E-2</v>
      </c>
      <c r="O41" s="39"/>
      <c r="P41" s="38">
        <v>4.6949999999999999E-2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6.8668099999999996E-2</v>
      </c>
      <c r="E43" s="25"/>
      <c r="F43" s="38">
        <v>6.9112499999999993E-2</v>
      </c>
      <c r="G43" s="39"/>
      <c r="H43" s="38">
        <v>6.9337499999999996E-2</v>
      </c>
      <c r="I43" s="39"/>
      <c r="J43" s="38">
        <v>7.0212499999999997E-2</v>
      </c>
      <c r="K43" s="39"/>
      <c r="L43" s="38">
        <v>7.0577500000000001E-2</v>
      </c>
      <c r="M43" s="39"/>
      <c r="N43" s="38">
        <v>7.3012499999999994E-2</v>
      </c>
      <c r="O43" s="39"/>
      <c r="P43" s="38">
        <v>7.3627499999999999E-2</v>
      </c>
      <c r="Q43" s="30"/>
      <c r="R43" s="30"/>
      <c r="S43" s="164"/>
      <c r="T43" s="39">
        <f>SUMPRODUCT(D43:P43,D35:P35)/T35</f>
        <v>6.932102656449847E-2</v>
      </c>
      <c r="U43" s="25"/>
      <c r="V43" s="5"/>
    </row>
    <row r="44" spans="1:22" x14ac:dyDescent="0.35">
      <c r="A44" s="24"/>
      <c r="B44" s="25" t="s">
        <v>301</v>
      </c>
      <c r="C44" s="110"/>
      <c r="D44" s="38">
        <v>5.8540200000000001E-2</v>
      </c>
      <c r="E44" s="25"/>
      <c r="F44" s="38">
        <f>+F41</f>
        <v>6.0100000000000001E-2</v>
      </c>
      <c r="G44" s="39"/>
      <c r="H44" s="38">
        <v>6.0324999999999997E-2</v>
      </c>
      <c r="I44" s="39"/>
      <c r="J44" s="38">
        <f>+J41</f>
        <v>6.1199999999999997E-2</v>
      </c>
      <c r="K44" s="39"/>
      <c r="L44" s="38">
        <v>6.1565000000000002E-2</v>
      </c>
      <c r="M44" s="39"/>
      <c r="N44" s="38">
        <f>+N41</f>
        <v>6.4000000000000001E-2</v>
      </c>
      <c r="O44" s="39"/>
      <c r="P44" s="38">
        <v>6.4615000000000006E-2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0.19430926172401056</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39433</v>
      </c>
      <c r="U56" s="25"/>
      <c r="V56" s="5"/>
    </row>
    <row r="57" spans="1:23" x14ac:dyDescent="0.35">
      <c r="A57" s="24"/>
      <c r="B57" s="25" t="s">
        <v>128</v>
      </c>
      <c r="C57" s="25"/>
      <c r="D57" s="25"/>
      <c r="E57" s="25"/>
      <c r="F57" s="25"/>
      <c r="G57" s="25"/>
      <c r="H57" s="58"/>
      <c r="I57" s="58"/>
      <c r="J57" s="58"/>
      <c r="K57" s="58"/>
      <c r="L57" s="58"/>
      <c r="M57" s="58"/>
      <c r="N57" s="58"/>
      <c r="O57" s="58"/>
      <c r="P57" s="25">
        <f>+T57-R57+1</f>
        <v>94</v>
      </c>
      <c r="Q57" s="25"/>
      <c r="R57" s="45">
        <v>39248</v>
      </c>
      <c r="S57" s="46"/>
      <c r="T57" s="45">
        <v>39341</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39342</v>
      </c>
      <c r="S58" s="46"/>
      <c r="T58" s="45">
        <v>39432</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39419</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282</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820910</v>
      </c>
      <c r="M69" s="34"/>
      <c r="N69" s="34">
        <f>118637+2182+781</f>
        <v>121600</v>
      </c>
      <c r="O69" s="34"/>
      <c r="P69" s="34">
        <f>2182+781</f>
        <v>2963</v>
      </c>
      <c r="Q69" s="34"/>
      <c r="R69" s="34">
        <v>0</v>
      </c>
      <c r="S69" s="34"/>
      <c r="T69" s="53">
        <f>+L69-N69+P69-R69</f>
        <v>702273</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820910</v>
      </c>
      <c r="M72" s="34"/>
      <c r="N72" s="34">
        <f>SUM(N69:N71)</f>
        <v>121600</v>
      </c>
      <c r="O72" s="34"/>
      <c r="P72" s="34">
        <f>SUM(P69:P71)</f>
        <v>2963</v>
      </c>
      <c r="Q72" s="34"/>
      <c r="R72" s="34">
        <f>SUM(R69:R71)</f>
        <v>0</v>
      </c>
      <c r="S72" s="34"/>
      <c r="T72" s="54">
        <f>SUM(T69:T71)</f>
        <v>702273</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820910</v>
      </c>
      <c r="M85" s="34"/>
      <c r="N85" s="34"/>
      <c r="O85" s="34"/>
      <c r="P85" s="34"/>
      <c r="Q85" s="34"/>
      <c r="R85" s="54"/>
      <c r="S85" s="34"/>
      <c r="T85" s="54">
        <f>SUM(T72:T84)</f>
        <v>702273</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39416</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121600-191</f>
        <v>121409</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7651+6394-524-1219</f>
        <v>12302</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474+918</f>
        <v>1392</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920</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v>2219</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1043</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121409</v>
      </c>
      <c r="S97" s="25"/>
      <c r="T97" s="54">
        <f>SUM(T89:T96)</f>
        <v>17876</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-182</v>
      </c>
      <c r="S98" s="25"/>
      <c r="T98" s="54">
        <v>182</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-96</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121227</v>
      </c>
      <c r="S101" s="25"/>
      <c r="T101" s="54">
        <f>T97+T99+T98+T100</f>
        <v>17962</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-308-40-10</f>
        <v>-358</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0</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v>-10325</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-1809</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-232</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v>-542</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-341</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-937</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191</v>
      </c>
      <c r="S115" s="25"/>
      <c r="T115" s="53">
        <v>-191</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-307</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-2904</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-80</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-22</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-2679</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-118637</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-121418</v>
      </c>
      <c r="S132" s="34"/>
      <c r="T132" s="34">
        <f>SUM(T102:T130)</f>
        <v>-17962</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NOVEMBER 2007</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3534</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2892</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191</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191</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-191</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702273</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702273</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+'Aug 07'!Q181</f>
        <v>28960</v>
      </c>
      <c r="R180" s="53">
        <f>+'Aug 07'!R181</f>
        <v>5693</v>
      </c>
      <c r="S180" s="25"/>
      <c r="T180" s="53">
        <f>Q180+R180</f>
        <v>34653</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v>2679</v>
      </c>
      <c r="R181" s="34">
        <v>80</v>
      </c>
      <c r="S181" s="25"/>
      <c r="T181" s="53">
        <f>Q181+R181</f>
        <v>2759</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31639</v>
      </c>
      <c r="R182" s="53">
        <f>R181+R180</f>
        <v>5773</v>
      </c>
      <c r="S182" s="25"/>
      <c r="T182" s="53">
        <f>Q182+R182</f>
        <v>37412</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122644.48000000001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1.4505521674633262</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1.41</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7.0633074935400515</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7.38</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3.6721439749608762</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3.82</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NOVEMBER 2007</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39416</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6.7390000000000005E-2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6.932102656449847E-2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-1.9310265644984642E-3</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2.1880595924035521E-2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19.55</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0.14812829664640459</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0.17419999999999999</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41</v>
      </c>
      <c r="R216" s="85">
        <f>+R256</f>
        <v>6203</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191</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'Aug 07'!R221+R221</f>
        <v>319</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13</v>
      </c>
      <c r="R228" s="85">
        <v>1659</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8.58</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5074</v>
      </c>
      <c r="Q235" s="94">
        <f t="shared" ref="Q235:Q242" si="1">P235/$P$244</f>
        <v>0.98562548562548558</v>
      </c>
      <c r="R235" s="53">
        <v>686066</v>
      </c>
      <c r="S235" s="133">
        <f t="shared" ref="S235:S242" si="2">R235/$R$244</f>
        <v>0.98562788225322162</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55</v>
      </c>
      <c r="Q236" s="94">
        <f t="shared" si="1"/>
        <v>1.0683760683760684E-2</v>
      </c>
      <c r="R236" s="53">
        <v>7089</v>
      </c>
      <c r="S236" s="133">
        <f t="shared" si="2"/>
        <v>1.0184320542474177E-2</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17</v>
      </c>
      <c r="Q237" s="94">
        <f t="shared" si="1"/>
        <v>3.3022533022533025E-3</v>
      </c>
      <c r="R237" s="53">
        <v>2507</v>
      </c>
      <c r="S237" s="133">
        <f t="shared" si="2"/>
        <v>3.6016492594135646E-3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2</v>
      </c>
      <c r="Q238" s="94">
        <f t="shared" si="1"/>
        <v>3.885003885003885E-4</v>
      </c>
      <c r="R238" s="53">
        <v>408</v>
      </c>
      <c r="S238" s="133">
        <f t="shared" si="2"/>
        <v>5.8614794489060009E-4</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0</v>
      </c>
      <c r="Q239" s="94">
        <f t="shared" si="1"/>
        <v>0</v>
      </c>
      <c r="R239" s="53">
        <v>0</v>
      </c>
      <c r="S239" s="133">
        <f t="shared" si="2"/>
        <v>0</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5148</v>
      </c>
      <c r="Q244" s="133">
        <f>SUM(Q235:Q243)</f>
        <v>0.99999999999999989</v>
      </c>
      <c r="R244" s="53">
        <f>SUM(R235:R243)</f>
        <v>696070</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13</v>
      </c>
      <c r="Q247" s="94">
        <f t="shared" ref="Q247:Q254" si="3">P247/$P$256</f>
        <v>0.31707317073170732</v>
      </c>
      <c r="R247" s="53">
        <v>932</v>
      </c>
      <c r="S247" s="133">
        <f t="shared" ref="S247:S254" si="4">R247/$R$256</f>
        <v>0.15024987909076254</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1</v>
      </c>
      <c r="Q248" s="94">
        <f t="shared" si="3"/>
        <v>2.4390243902439025E-2</v>
      </c>
      <c r="R248" s="53">
        <v>192</v>
      </c>
      <c r="S248" s="133">
        <f t="shared" si="4"/>
        <v>3.0952764791230051E-2</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4</v>
      </c>
      <c r="Q249" s="94">
        <f t="shared" si="3"/>
        <v>9.7560975609756101E-2</v>
      </c>
      <c r="R249" s="53">
        <v>758</v>
      </c>
      <c r="S249" s="133">
        <f t="shared" si="4"/>
        <v>0.1221989359987103</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2</v>
      </c>
      <c r="Q250" s="94">
        <f t="shared" si="3"/>
        <v>4.878048780487805E-2</v>
      </c>
      <c r="R250" s="53">
        <v>217</v>
      </c>
      <c r="S250" s="133">
        <f t="shared" si="4"/>
        <v>3.4983072706754798E-2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4</v>
      </c>
      <c r="Q251" s="94">
        <f t="shared" si="3"/>
        <v>9.7560975609756101E-2</v>
      </c>
      <c r="R251" s="53">
        <v>704</v>
      </c>
      <c r="S251" s="133">
        <f t="shared" si="4"/>
        <v>0.11349347090117685</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0</v>
      </c>
      <c r="Q252" s="94">
        <f t="shared" si="3"/>
        <v>0</v>
      </c>
      <c r="R252" s="53">
        <v>0</v>
      </c>
      <c r="S252" s="133">
        <f t="shared" si="4"/>
        <v>0</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8</v>
      </c>
      <c r="Q253" s="94">
        <f t="shared" si="3"/>
        <v>0.1951219512195122</v>
      </c>
      <c r="R253" s="53">
        <v>1323</v>
      </c>
      <c r="S253" s="133">
        <f t="shared" si="4"/>
        <v>0.21328389488956956</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9</v>
      </c>
      <c r="Q254" s="94">
        <f t="shared" si="3"/>
        <v>0.21951219512195122</v>
      </c>
      <c r="R254" s="53">
        <v>2077</v>
      </c>
      <c r="S254" s="133">
        <f t="shared" si="4"/>
        <v>0.3348379816217959</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41</v>
      </c>
      <c r="Q256" s="133">
        <f>SUM(Q247:Q255)</f>
        <v>1</v>
      </c>
      <c r="R256" s="53">
        <f>SUM(R247:R255)</f>
        <v>6203</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5189</v>
      </c>
      <c r="Q270" s="144"/>
      <c r="R270" s="145">
        <f>+R268+R256+R244</f>
        <v>702273</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NOVEMBER 2007</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700-000000000000}"/>
    <hyperlink ref="N232" r:id="rId2" xr:uid="{00000000-0004-0000-0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2D2926"/>
  </sheetPr>
  <dimension ref="A1:W281"/>
  <sheetViews>
    <sheetView showGridLines="0" showOutlineSymbols="0" zoomScale="70" zoomScaleNormal="70" workbookViewId="0"/>
  </sheetViews>
  <sheetFormatPr defaultColWidth="9.61328125" defaultRowHeight="15.5" x14ac:dyDescent="0.35"/>
  <cols>
    <col min="1" max="1" width="4" style="1" customWidth="1"/>
    <col min="2" max="2" width="71.15234375" style="1" customWidth="1"/>
    <col min="3" max="3" width="2.15234375" style="1" customWidth="1"/>
    <col min="4" max="4" width="19.3828125" style="1" customWidth="1"/>
    <col min="5" max="5" width="2.15234375" style="1" customWidth="1"/>
    <col min="6" max="6" width="25.07421875" style="1" customWidth="1"/>
    <col min="7" max="7" width="2.15234375" style="1" customWidth="1"/>
    <col min="8" max="8" width="16.15234375" style="1" customWidth="1"/>
    <col min="9" max="9" width="2.15234375" style="1" customWidth="1"/>
    <col min="10" max="10" width="17.921875" style="1" customWidth="1"/>
    <col min="11" max="11" width="2.3828125" style="1" customWidth="1"/>
    <col min="12" max="12" width="14.921875" style="1" customWidth="1"/>
    <col min="13" max="13" width="2.3828125" style="1" customWidth="1"/>
    <col min="14" max="14" width="15.53515625" style="1" customWidth="1"/>
    <col min="15" max="15" width="2.15234375" style="1" customWidth="1"/>
    <col min="16" max="16" width="15.53515625" style="1" customWidth="1"/>
    <col min="17" max="18" width="12.61328125" style="1" customWidth="1"/>
    <col min="19" max="19" width="7.84375" style="1" customWidth="1"/>
    <col min="20" max="20" width="14.61328125" style="1" customWidth="1"/>
    <col min="21" max="21" width="11.84375" style="1" customWidth="1"/>
    <col min="22" max="16384" width="9.61328125" style="1"/>
  </cols>
  <sheetData>
    <row r="1" spans="1:22" ht="20" x14ac:dyDescent="0.4">
      <c r="A1" s="2"/>
      <c r="B1" s="3" t="s">
        <v>188</v>
      </c>
      <c r="C1" s="4"/>
      <c r="D1" s="4"/>
      <c r="E1" s="4"/>
      <c r="F1" s="4"/>
      <c r="G1" s="4"/>
      <c r="H1" s="4"/>
      <c r="I1" s="4"/>
      <c r="J1" s="4"/>
      <c r="K1" s="4"/>
      <c r="L1" s="4"/>
      <c r="M1" s="4"/>
      <c r="N1" s="4"/>
      <c r="O1" s="4"/>
      <c r="P1" s="4"/>
      <c r="Q1" s="4"/>
      <c r="R1" s="4"/>
      <c r="S1" s="4"/>
      <c r="T1" s="4"/>
      <c r="U1" s="4"/>
      <c r="V1" s="5"/>
    </row>
    <row r="2" spans="1:22" x14ac:dyDescent="0.35">
      <c r="A2" s="6"/>
      <c r="B2" s="7"/>
      <c r="C2" s="8"/>
      <c r="D2" s="8"/>
      <c r="E2" s="8"/>
      <c r="F2" s="8"/>
      <c r="G2" s="8"/>
      <c r="H2" s="8"/>
      <c r="I2" s="8"/>
      <c r="J2" s="8"/>
      <c r="K2" s="8"/>
      <c r="L2" s="8"/>
      <c r="M2" s="8"/>
      <c r="N2" s="8"/>
      <c r="O2" s="8"/>
      <c r="P2" s="8"/>
      <c r="Q2" s="8"/>
      <c r="R2" s="8"/>
      <c r="S2" s="8"/>
      <c r="T2" s="8"/>
      <c r="U2" s="8"/>
      <c r="V2" s="5"/>
    </row>
    <row r="3" spans="1:22" x14ac:dyDescent="0.35">
      <c r="A3" s="9"/>
      <c r="B3" s="111" t="s">
        <v>189</v>
      </c>
      <c r="C3" s="8"/>
      <c r="D3" s="8"/>
      <c r="E3" s="8"/>
      <c r="F3" s="8"/>
      <c r="G3" s="8"/>
      <c r="H3" s="8"/>
      <c r="I3" s="8"/>
      <c r="J3" s="8"/>
      <c r="K3" s="8"/>
      <c r="L3" s="8"/>
      <c r="M3" s="8"/>
      <c r="N3" s="8"/>
      <c r="O3" s="8"/>
      <c r="P3" s="8"/>
      <c r="Q3" s="8"/>
      <c r="R3" s="8"/>
      <c r="S3" s="8"/>
      <c r="T3" s="8"/>
      <c r="U3" s="8"/>
      <c r="V3" s="5"/>
    </row>
    <row r="4" spans="1:22" x14ac:dyDescent="0.35">
      <c r="A4" s="6"/>
      <c r="B4" s="7"/>
      <c r="C4" s="8"/>
      <c r="D4" s="8"/>
      <c r="E4" s="8"/>
      <c r="F4" s="8"/>
      <c r="G4" s="8"/>
      <c r="H4" s="8"/>
      <c r="I4" s="8"/>
      <c r="J4" s="8"/>
      <c r="K4" s="8"/>
      <c r="L4" s="8"/>
      <c r="M4" s="8"/>
      <c r="N4" s="8"/>
      <c r="O4" s="8"/>
      <c r="P4" s="8"/>
      <c r="Q4" s="8"/>
      <c r="R4" s="8"/>
      <c r="S4" s="8"/>
      <c r="T4" s="8"/>
      <c r="U4" s="8"/>
      <c r="V4" s="5"/>
    </row>
    <row r="5" spans="1:22" x14ac:dyDescent="0.35">
      <c r="A5" s="6"/>
      <c r="B5" s="11" t="s">
        <v>144</v>
      </c>
      <c r="C5" s="8"/>
      <c r="D5" s="8"/>
      <c r="E5" s="8"/>
      <c r="F5" s="8"/>
      <c r="G5" s="8"/>
      <c r="H5" s="8"/>
      <c r="I5" s="8"/>
      <c r="J5" s="8"/>
      <c r="K5" s="8"/>
      <c r="L5" s="8"/>
      <c r="M5" s="8"/>
      <c r="N5" s="8"/>
      <c r="O5" s="8"/>
      <c r="P5" s="8"/>
      <c r="Q5" s="8"/>
      <c r="R5" s="8"/>
      <c r="S5" s="8"/>
      <c r="T5" s="8"/>
      <c r="U5" s="8"/>
      <c r="V5" s="5"/>
    </row>
    <row r="6" spans="1:22" x14ac:dyDescent="0.35">
      <c r="A6" s="6"/>
      <c r="B6" s="11" t="s">
        <v>146</v>
      </c>
      <c r="C6" s="8"/>
      <c r="D6" s="8"/>
      <c r="E6" s="8"/>
      <c r="F6" s="8"/>
      <c r="G6" s="8"/>
      <c r="H6" s="8"/>
      <c r="I6" s="8"/>
      <c r="J6" s="8"/>
      <c r="K6" s="8"/>
      <c r="L6" s="8"/>
      <c r="M6" s="8"/>
      <c r="N6" s="8"/>
      <c r="O6" s="8"/>
      <c r="P6" s="8"/>
      <c r="Q6" s="8"/>
      <c r="R6" s="8"/>
      <c r="S6" s="8"/>
      <c r="T6" s="8"/>
      <c r="U6" s="8"/>
      <c r="V6" s="5"/>
    </row>
    <row r="7" spans="1:22" x14ac:dyDescent="0.35">
      <c r="A7" s="6"/>
      <c r="B7" s="11" t="s">
        <v>145</v>
      </c>
      <c r="C7" s="8"/>
      <c r="D7" s="8"/>
      <c r="E7" s="8"/>
      <c r="F7" s="8"/>
      <c r="G7" s="8"/>
      <c r="H7" s="8"/>
      <c r="I7" s="8"/>
      <c r="J7" s="8"/>
      <c r="K7" s="8"/>
      <c r="L7" s="8"/>
      <c r="M7" s="8"/>
      <c r="N7" s="8"/>
      <c r="O7" s="8"/>
      <c r="P7" s="8"/>
      <c r="Q7" s="8"/>
      <c r="R7" s="8"/>
      <c r="S7" s="8"/>
      <c r="T7" s="8"/>
      <c r="U7" s="8"/>
      <c r="V7" s="5"/>
    </row>
    <row r="8" spans="1:22" x14ac:dyDescent="0.35">
      <c r="A8" s="6"/>
      <c r="B8" s="11"/>
      <c r="C8" s="8"/>
      <c r="D8" s="8"/>
      <c r="E8" s="8"/>
      <c r="F8" s="8"/>
      <c r="G8" s="8"/>
      <c r="H8" s="8"/>
      <c r="I8" s="8"/>
      <c r="J8" s="8"/>
      <c r="K8" s="8"/>
      <c r="L8" s="8"/>
      <c r="M8" s="8"/>
      <c r="N8" s="8"/>
      <c r="O8" s="8"/>
      <c r="P8" s="8"/>
      <c r="Q8" s="8"/>
      <c r="R8" s="8"/>
      <c r="S8" s="8"/>
      <c r="T8" s="8"/>
      <c r="U8" s="8"/>
      <c r="V8" s="5"/>
    </row>
    <row r="9" spans="1:22" ht="17.5" x14ac:dyDescent="0.35">
      <c r="A9" s="6"/>
      <c r="B9" s="148" t="s">
        <v>176</v>
      </c>
      <c r="C9" s="8"/>
      <c r="D9" s="8"/>
      <c r="E9" s="8"/>
      <c r="F9" s="8"/>
      <c r="G9" s="8"/>
      <c r="H9" s="8"/>
      <c r="I9" s="8"/>
      <c r="J9" s="149" t="s">
        <v>177</v>
      </c>
      <c r="K9" s="8"/>
      <c r="L9" s="8"/>
      <c r="M9" s="8"/>
      <c r="N9" s="8"/>
      <c r="O9" s="8"/>
      <c r="P9" s="8"/>
      <c r="Q9" s="8"/>
      <c r="R9" s="8"/>
      <c r="S9" s="8"/>
      <c r="T9" s="8"/>
      <c r="U9" s="8"/>
      <c r="V9" s="5"/>
    </row>
    <row r="10" spans="1:22" x14ac:dyDescent="0.35">
      <c r="A10" s="6"/>
      <c r="B10" s="11"/>
      <c r="C10" s="13"/>
      <c r="D10" s="13"/>
      <c r="E10" s="13"/>
      <c r="F10" s="8"/>
      <c r="G10" s="8"/>
      <c r="H10" s="8"/>
      <c r="I10" s="8"/>
      <c r="J10" s="8"/>
      <c r="K10" s="8"/>
      <c r="L10" s="8"/>
      <c r="M10" s="8"/>
      <c r="N10" s="8"/>
      <c r="O10" s="8"/>
      <c r="P10" s="8"/>
      <c r="Q10" s="8"/>
      <c r="R10" s="8"/>
      <c r="S10" s="8"/>
      <c r="T10" s="8"/>
      <c r="U10" s="8"/>
      <c r="V10" s="5"/>
    </row>
    <row r="11" spans="1:22" x14ac:dyDescent="0.35">
      <c r="A11" s="6"/>
      <c r="B11" s="14" t="s">
        <v>0</v>
      </c>
      <c r="C11" s="8"/>
      <c r="D11" s="8"/>
      <c r="E11" s="8"/>
      <c r="F11" s="8"/>
      <c r="G11" s="8"/>
      <c r="H11" s="8"/>
      <c r="I11" s="8"/>
      <c r="J11" s="8"/>
      <c r="K11" s="8"/>
      <c r="L11" s="8"/>
      <c r="M11" s="8"/>
      <c r="N11" s="8"/>
      <c r="O11" s="8"/>
      <c r="P11" s="8"/>
      <c r="Q11" s="8"/>
      <c r="R11" s="8"/>
      <c r="S11" s="8"/>
      <c r="T11" s="8"/>
      <c r="U11" s="8"/>
      <c r="V11" s="5"/>
    </row>
    <row r="12" spans="1:22" ht="16" thickBot="1" x14ac:dyDescent="0.4">
      <c r="A12" s="6"/>
      <c r="B12" s="13"/>
      <c r="C12" s="8"/>
      <c r="D12" s="8"/>
      <c r="E12" s="8"/>
      <c r="F12" s="8"/>
      <c r="G12" s="8"/>
      <c r="H12" s="8"/>
      <c r="I12" s="8"/>
      <c r="J12" s="8"/>
      <c r="K12" s="8"/>
      <c r="L12" s="8"/>
      <c r="M12" s="8"/>
      <c r="N12" s="8"/>
      <c r="O12" s="8"/>
      <c r="P12" s="8"/>
      <c r="Q12" s="8"/>
      <c r="R12" s="8"/>
      <c r="S12" s="8"/>
      <c r="T12" s="8"/>
      <c r="U12" s="8"/>
      <c r="V12" s="5"/>
    </row>
    <row r="13" spans="1:22" x14ac:dyDescent="0.35">
      <c r="A13" s="2"/>
      <c r="B13" s="4"/>
      <c r="C13" s="4"/>
      <c r="D13" s="4"/>
      <c r="E13" s="4"/>
      <c r="F13" s="4"/>
      <c r="G13" s="4"/>
      <c r="H13" s="4"/>
      <c r="I13" s="4"/>
      <c r="J13" s="4"/>
      <c r="K13" s="4"/>
      <c r="L13" s="4"/>
      <c r="M13" s="4"/>
      <c r="N13" s="4"/>
      <c r="O13" s="4"/>
      <c r="P13" s="4"/>
      <c r="Q13" s="4"/>
      <c r="R13" s="4"/>
      <c r="S13" s="4"/>
      <c r="T13" s="4"/>
      <c r="U13" s="4"/>
      <c r="V13" s="5"/>
    </row>
    <row r="14" spans="1:22" x14ac:dyDescent="0.35">
      <c r="A14" s="6"/>
      <c r="B14" s="14" t="s">
        <v>1</v>
      </c>
      <c r="C14" s="15"/>
      <c r="D14" s="15"/>
      <c r="E14" s="15"/>
      <c r="F14" s="15"/>
      <c r="G14" s="15"/>
      <c r="H14" s="15"/>
      <c r="I14" s="15"/>
      <c r="J14" s="15"/>
      <c r="K14" s="15"/>
      <c r="L14" s="15"/>
      <c r="M14" s="15"/>
      <c r="N14" s="15"/>
      <c r="O14" s="15"/>
      <c r="P14" s="15"/>
      <c r="Q14" s="15"/>
      <c r="R14" s="15"/>
      <c r="S14" s="15"/>
      <c r="T14" s="16" t="s">
        <v>190</v>
      </c>
      <c r="U14" s="15"/>
      <c r="V14" s="5"/>
    </row>
    <row r="15" spans="1:22" x14ac:dyDescent="0.35">
      <c r="A15" s="6"/>
      <c r="B15" s="14" t="s">
        <v>2</v>
      </c>
      <c r="C15" s="15"/>
      <c r="D15" s="15"/>
      <c r="E15" s="15"/>
      <c r="F15" s="15"/>
      <c r="G15" s="15"/>
      <c r="H15" s="18"/>
      <c r="I15" s="18"/>
      <c r="J15" s="18"/>
      <c r="K15" s="18"/>
      <c r="L15" s="18"/>
      <c r="M15" s="18"/>
      <c r="N15" s="18"/>
      <c r="O15" s="18"/>
      <c r="P15" s="18" t="s">
        <v>108</v>
      </c>
      <c r="Q15" s="138">
        <v>0.49540000000000001</v>
      </c>
      <c r="R15" s="17" t="s">
        <v>147</v>
      </c>
      <c r="S15" s="138">
        <v>0.50460000000000005</v>
      </c>
      <c r="T15" s="16"/>
      <c r="U15" s="15"/>
      <c r="V15" s="5"/>
    </row>
    <row r="16" spans="1:22" x14ac:dyDescent="0.35">
      <c r="A16" s="6"/>
      <c r="B16" s="14" t="s">
        <v>3</v>
      </c>
      <c r="C16" s="15"/>
      <c r="D16" s="15"/>
      <c r="E16" s="15"/>
      <c r="F16" s="15"/>
      <c r="G16" s="15"/>
      <c r="H16" s="18"/>
      <c r="I16" s="18"/>
      <c r="J16" s="18"/>
      <c r="K16" s="18"/>
      <c r="L16" s="18"/>
      <c r="M16" s="18"/>
      <c r="N16" s="18"/>
      <c r="O16" s="18"/>
      <c r="P16" s="18" t="s">
        <v>108</v>
      </c>
      <c r="Q16" s="138">
        <v>0.61990000000000001</v>
      </c>
      <c r="R16" s="17" t="s">
        <v>147</v>
      </c>
      <c r="S16" s="138">
        <v>0.38009999999999999</v>
      </c>
      <c r="T16" s="16"/>
      <c r="U16" s="15"/>
      <c r="V16" s="5"/>
    </row>
    <row r="17" spans="1:22" x14ac:dyDescent="0.35">
      <c r="A17" s="6"/>
      <c r="B17" s="14" t="s">
        <v>4</v>
      </c>
      <c r="C17" s="15"/>
      <c r="D17" s="15"/>
      <c r="E17" s="15"/>
      <c r="F17" s="15"/>
      <c r="G17" s="15"/>
      <c r="H17" s="15"/>
      <c r="I17" s="15"/>
      <c r="J17" s="15"/>
      <c r="K17" s="15"/>
      <c r="L17" s="15"/>
      <c r="M17" s="15"/>
      <c r="N17" s="15"/>
      <c r="O17" s="15"/>
      <c r="P17" s="15"/>
      <c r="Q17" s="15"/>
      <c r="R17" s="15"/>
      <c r="S17" s="15"/>
      <c r="T17" s="19">
        <v>38673</v>
      </c>
      <c r="U17" s="15"/>
      <c r="V17" s="5"/>
    </row>
    <row r="18" spans="1:22" x14ac:dyDescent="0.35">
      <c r="A18" s="6"/>
      <c r="B18" s="14" t="s">
        <v>5</v>
      </c>
      <c r="C18" s="15"/>
      <c r="D18" s="15"/>
      <c r="E18" s="15"/>
      <c r="F18" s="15"/>
      <c r="G18" s="15"/>
      <c r="H18" s="15"/>
      <c r="I18" s="15"/>
      <c r="J18" s="15"/>
      <c r="K18" s="15"/>
      <c r="L18" s="15"/>
      <c r="M18" s="15"/>
      <c r="N18" s="15"/>
      <c r="O18" s="15"/>
      <c r="P18" s="15"/>
      <c r="Q18" s="15"/>
      <c r="R18" s="15"/>
      <c r="S18" s="15"/>
      <c r="T18" s="19">
        <v>39532</v>
      </c>
      <c r="U18" s="15"/>
      <c r="V18" s="5"/>
    </row>
    <row r="19" spans="1:22" x14ac:dyDescent="0.35">
      <c r="A19" s="6"/>
      <c r="B19" s="8"/>
      <c r="C19" s="8"/>
      <c r="D19" s="8"/>
      <c r="E19" s="8"/>
      <c r="F19" s="8"/>
      <c r="G19" s="8"/>
      <c r="H19" s="8"/>
      <c r="I19" s="8"/>
      <c r="J19" s="8"/>
      <c r="K19" s="8"/>
      <c r="L19" s="8"/>
      <c r="M19" s="8"/>
      <c r="N19" s="8"/>
      <c r="O19" s="8"/>
      <c r="P19" s="8"/>
      <c r="Q19" s="8"/>
      <c r="R19" s="8"/>
      <c r="S19" s="8"/>
      <c r="T19" s="20"/>
      <c r="U19" s="8"/>
      <c r="V19" s="5"/>
    </row>
    <row r="20" spans="1:22" x14ac:dyDescent="0.35">
      <c r="A20" s="6"/>
      <c r="B20" s="21" t="s">
        <v>6</v>
      </c>
      <c r="C20" s="8"/>
      <c r="D20" s="8"/>
      <c r="E20" s="8"/>
      <c r="F20" s="8"/>
      <c r="G20" s="8"/>
      <c r="H20" s="8"/>
      <c r="I20" s="8"/>
      <c r="J20" s="8"/>
      <c r="K20" s="8"/>
      <c r="L20" s="8"/>
      <c r="M20" s="8"/>
      <c r="N20" s="8"/>
      <c r="O20" s="8"/>
      <c r="P20" s="8"/>
      <c r="Q20" s="8"/>
      <c r="R20" s="20" t="s">
        <v>109</v>
      </c>
      <c r="S20" s="8"/>
      <c r="T20" s="163"/>
      <c r="U20" s="8"/>
      <c r="V20" s="5"/>
    </row>
    <row r="21" spans="1:22" x14ac:dyDescent="0.35">
      <c r="A21" s="6"/>
      <c r="B21" s="8"/>
      <c r="C21" s="8"/>
      <c r="D21" s="8"/>
      <c r="E21" s="8"/>
      <c r="F21" s="8"/>
      <c r="G21" s="8"/>
      <c r="H21" s="8"/>
      <c r="I21" s="8"/>
      <c r="J21" s="8"/>
      <c r="K21" s="8"/>
      <c r="L21" s="8"/>
      <c r="M21" s="8"/>
      <c r="N21" s="8"/>
      <c r="O21" s="8"/>
      <c r="P21" s="8"/>
      <c r="Q21" s="8"/>
      <c r="R21" s="8"/>
      <c r="S21" s="8"/>
      <c r="T21" s="22"/>
      <c r="U21" s="8"/>
      <c r="V21" s="5"/>
    </row>
    <row r="22" spans="1:22" x14ac:dyDescent="0.35">
      <c r="A22" s="6"/>
      <c r="B22" s="8"/>
      <c r="C22" s="112"/>
      <c r="D22" s="112" t="s">
        <v>191</v>
      </c>
      <c r="E22" s="112"/>
      <c r="F22" s="112" t="s">
        <v>192</v>
      </c>
      <c r="G22" s="112"/>
      <c r="H22" s="112" t="s">
        <v>193</v>
      </c>
      <c r="I22" s="112"/>
      <c r="J22" s="112" t="s">
        <v>194</v>
      </c>
      <c r="K22" s="112"/>
      <c r="L22" s="112" t="s">
        <v>195</v>
      </c>
      <c r="M22" s="112"/>
      <c r="N22" s="112" t="s">
        <v>196</v>
      </c>
      <c r="O22" s="112"/>
      <c r="P22" s="112" t="s">
        <v>197</v>
      </c>
      <c r="Q22" s="113"/>
      <c r="R22" s="23"/>
      <c r="S22" s="163"/>
      <c r="T22" s="163"/>
      <c r="U22" s="8"/>
      <c r="V22" s="5"/>
    </row>
    <row r="23" spans="1:22" x14ac:dyDescent="0.35">
      <c r="A23" s="24"/>
      <c r="B23" s="25" t="s">
        <v>7</v>
      </c>
      <c r="C23" s="26"/>
      <c r="D23" s="26" t="s">
        <v>256</v>
      </c>
      <c r="E23" s="26"/>
      <c r="F23" s="26" t="s">
        <v>148</v>
      </c>
      <c r="G23" s="26"/>
      <c r="H23" s="26" t="s">
        <v>148</v>
      </c>
      <c r="I23" s="26"/>
      <c r="J23" s="26" t="s">
        <v>198</v>
      </c>
      <c r="K23" s="26"/>
      <c r="L23" s="26" t="s">
        <v>198</v>
      </c>
      <c r="M23" s="26"/>
      <c r="N23" s="26" t="s">
        <v>149</v>
      </c>
      <c r="O23" s="26"/>
      <c r="P23" s="26" t="s">
        <v>149</v>
      </c>
      <c r="Q23" s="26"/>
      <c r="R23" s="26"/>
      <c r="S23" s="164"/>
      <c r="T23" s="164"/>
      <c r="U23" s="25"/>
      <c r="V23" s="5"/>
    </row>
    <row r="24" spans="1:22" x14ac:dyDescent="0.35">
      <c r="A24" s="24"/>
      <c r="B24" s="25" t="s">
        <v>8</v>
      </c>
      <c r="C24" s="26"/>
      <c r="D24" s="26" t="s">
        <v>257</v>
      </c>
      <c r="E24" s="26"/>
      <c r="F24" s="26" t="s">
        <v>150</v>
      </c>
      <c r="G24" s="26"/>
      <c r="H24" s="26" t="s">
        <v>150</v>
      </c>
      <c r="I24" s="26"/>
      <c r="J24" s="26" t="s">
        <v>175</v>
      </c>
      <c r="K24" s="26"/>
      <c r="L24" s="26" t="s">
        <v>175</v>
      </c>
      <c r="M24" s="26"/>
      <c r="N24" s="26" t="s">
        <v>151</v>
      </c>
      <c r="O24" s="26"/>
      <c r="P24" s="26" t="s">
        <v>151</v>
      </c>
      <c r="Q24" s="26"/>
      <c r="R24" s="26"/>
      <c r="S24" s="164"/>
      <c r="T24" s="164"/>
      <c r="U24" s="25"/>
      <c r="V24" s="5"/>
    </row>
    <row r="25" spans="1:22" x14ac:dyDescent="0.35">
      <c r="A25" s="28"/>
      <c r="B25" s="132" t="s">
        <v>223</v>
      </c>
      <c r="C25" s="123"/>
      <c r="D25" s="26" t="s">
        <v>258</v>
      </c>
      <c r="E25" s="26"/>
      <c r="F25" s="26" t="s">
        <v>150</v>
      </c>
      <c r="G25" s="26"/>
      <c r="H25" s="26" t="s">
        <v>150</v>
      </c>
      <c r="I25" s="26"/>
      <c r="J25" s="26" t="s">
        <v>175</v>
      </c>
      <c r="K25" s="26"/>
      <c r="L25" s="26" t="s">
        <v>175</v>
      </c>
      <c r="M25" s="26"/>
      <c r="N25" s="26" t="s">
        <v>151</v>
      </c>
      <c r="O25" s="26"/>
      <c r="P25" s="26" t="s">
        <v>151</v>
      </c>
      <c r="Q25" s="123"/>
      <c r="R25" s="26"/>
      <c r="S25" s="164"/>
      <c r="T25" s="164"/>
      <c r="U25" s="25"/>
      <c r="V25" s="5"/>
    </row>
    <row r="26" spans="1:22" x14ac:dyDescent="0.35">
      <c r="A26" s="28"/>
      <c r="B26" s="29" t="s">
        <v>9</v>
      </c>
      <c r="C26" s="123"/>
      <c r="D26" s="123" t="s">
        <v>256</v>
      </c>
      <c r="E26" s="123"/>
      <c r="F26" s="123" t="s">
        <v>148</v>
      </c>
      <c r="G26" s="123"/>
      <c r="H26" s="123" t="s">
        <v>148</v>
      </c>
      <c r="I26" s="123"/>
      <c r="J26" s="123" t="s">
        <v>198</v>
      </c>
      <c r="K26" s="123"/>
      <c r="L26" s="123" t="s">
        <v>198</v>
      </c>
      <c r="M26" s="123"/>
      <c r="N26" s="123" t="s">
        <v>149</v>
      </c>
      <c r="O26" s="123"/>
      <c r="P26" s="123" t="s">
        <v>149</v>
      </c>
      <c r="Q26" s="123"/>
      <c r="R26" s="26"/>
      <c r="S26" s="164"/>
      <c r="T26" s="164"/>
      <c r="U26" s="25"/>
      <c r="V26" s="5"/>
    </row>
    <row r="27" spans="1:22" x14ac:dyDescent="0.35">
      <c r="A27" s="24"/>
      <c r="B27" s="29" t="s">
        <v>224</v>
      </c>
      <c r="C27" s="26"/>
      <c r="D27" s="123" t="s">
        <v>257</v>
      </c>
      <c r="E27" s="123"/>
      <c r="F27" s="123" t="s">
        <v>150</v>
      </c>
      <c r="G27" s="123"/>
      <c r="H27" s="123" t="s">
        <v>150</v>
      </c>
      <c r="I27" s="123"/>
      <c r="J27" s="123" t="s">
        <v>175</v>
      </c>
      <c r="K27" s="123"/>
      <c r="L27" s="123" t="s">
        <v>175</v>
      </c>
      <c r="M27" s="123"/>
      <c r="N27" s="123" t="s">
        <v>151</v>
      </c>
      <c r="O27" s="123"/>
      <c r="P27" s="123" t="s">
        <v>151</v>
      </c>
      <c r="Q27" s="26"/>
      <c r="R27" s="30"/>
      <c r="S27" s="164"/>
      <c r="T27" s="164"/>
      <c r="U27" s="25"/>
      <c r="V27" s="5"/>
    </row>
    <row r="28" spans="1:22" x14ac:dyDescent="0.35">
      <c r="A28" s="24"/>
      <c r="B28" s="154" t="s">
        <v>225</v>
      </c>
      <c r="C28" s="26"/>
      <c r="D28" s="123" t="s">
        <v>258</v>
      </c>
      <c r="E28" s="123"/>
      <c r="F28" s="123" t="s">
        <v>150</v>
      </c>
      <c r="G28" s="123"/>
      <c r="H28" s="123" t="s">
        <v>150</v>
      </c>
      <c r="I28" s="123"/>
      <c r="J28" s="123" t="s">
        <v>175</v>
      </c>
      <c r="K28" s="123"/>
      <c r="L28" s="123" t="s">
        <v>175</v>
      </c>
      <c r="M28" s="123"/>
      <c r="N28" s="123" t="s">
        <v>151</v>
      </c>
      <c r="O28" s="123"/>
      <c r="P28" s="123" t="s">
        <v>151</v>
      </c>
      <c r="Q28" s="26"/>
      <c r="R28" s="30"/>
      <c r="S28" s="164"/>
      <c r="T28" s="164"/>
      <c r="U28" s="25"/>
      <c r="V28" s="5"/>
    </row>
    <row r="29" spans="1:22" x14ac:dyDescent="0.35">
      <c r="A29" s="24"/>
      <c r="B29" s="25" t="s">
        <v>10</v>
      </c>
      <c r="C29" s="32"/>
      <c r="D29" s="26" t="s">
        <v>199</v>
      </c>
      <c r="E29" s="26"/>
      <c r="F29" s="30" t="s">
        <v>200</v>
      </c>
      <c r="G29" s="26"/>
      <c r="H29" s="26" t="s">
        <v>201</v>
      </c>
      <c r="I29" s="26"/>
      <c r="J29" s="26" t="s">
        <v>202</v>
      </c>
      <c r="K29" s="26"/>
      <c r="L29" s="26" t="s">
        <v>203</v>
      </c>
      <c r="M29" s="26"/>
      <c r="N29" s="26" t="s">
        <v>204</v>
      </c>
      <c r="O29" s="26"/>
      <c r="P29" s="26" t="s">
        <v>205</v>
      </c>
      <c r="Q29" s="31"/>
      <c r="R29" s="31"/>
      <c r="S29" s="165"/>
      <c r="T29" s="31"/>
      <c r="U29" s="34"/>
      <c r="V29" s="5"/>
    </row>
    <row r="30" spans="1:22" x14ac:dyDescent="0.35">
      <c r="A30" s="24"/>
      <c r="B30" s="25" t="s">
        <v>10</v>
      </c>
      <c r="C30" s="32"/>
      <c r="D30" s="26" t="s">
        <v>206</v>
      </c>
      <c r="E30" s="26"/>
      <c r="F30" s="30" t="s">
        <v>125</v>
      </c>
      <c r="G30" s="26"/>
      <c r="H30" s="26" t="s">
        <v>125</v>
      </c>
      <c r="I30" s="26"/>
      <c r="J30" s="26" t="s">
        <v>125</v>
      </c>
      <c r="K30" s="26"/>
      <c r="L30" s="26" t="s">
        <v>125</v>
      </c>
      <c r="M30" s="26"/>
      <c r="N30" s="26" t="s">
        <v>125</v>
      </c>
      <c r="O30" s="26"/>
      <c r="P30" s="26" t="s">
        <v>125</v>
      </c>
      <c r="Q30" s="31"/>
      <c r="R30" s="31"/>
      <c r="S30" s="165"/>
      <c r="T30" s="31"/>
      <c r="U30" s="34"/>
      <c r="V30" s="5"/>
    </row>
    <row r="31" spans="1:22" x14ac:dyDescent="0.35">
      <c r="A31" s="28"/>
      <c r="B31" s="25" t="s">
        <v>140</v>
      </c>
      <c r="C31" s="36"/>
      <c r="D31" s="147">
        <v>1100000</v>
      </c>
      <c r="E31" s="32"/>
      <c r="F31" s="31">
        <v>105000</v>
      </c>
      <c r="G31" s="31"/>
      <c r="H31" s="124">
        <v>222000</v>
      </c>
      <c r="I31" s="31"/>
      <c r="J31" s="31">
        <v>31000</v>
      </c>
      <c r="K31" s="31"/>
      <c r="L31" s="124">
        <v>19500</v>
      </c>
      <c r="M31" s="31"/>
      <c r="N31" s="129">
        <v>51500</v>
      </c>
      <c r="O31" s="31"/>
      <c r="P31" s="124">
        <v>27500</v>
      </c>
      <c r="Q31" s="35"/>
      <c r="R31" s="35"/>
      <c r="S31" s="37"/>
      <c r="T31" s="35"/>
      <c r="U31" s="34"/>
      <c r="V31" s="5"/>
    </row>
    <row r="32" spans="1:22" x14ac:dyDescent="0.35">
      <c r="A32" s="24"/>
      <c r="B32" s="25" t="s">
        <v>139</v>
      </c>
      <c r="C32" s="32"/>
      <c r="D32" s="147">
        <f>D31*D38</f>
        <v>580447.12</v>
      </c>
      <c r="E32" s="32"/>
      <c r="F32" s="31">
        <v>105000</v>
      </c>
      <c r="G32" s="31"/>
      <c r="H32" s="124">
        <v>222000</v>
      </c>
      <c r="I32" s="31"/>
      <c r="J32" s="31">
        <v>31000</v>
      </c>
      <c r="K32" s="31"/>
      <c r="L32" s="124">
        <v>19500</v>
      </c>
      <c r="M32" s="31"/>
      <c r="N32" s="129">
        <v>51500</v>
      </c>
      <c r="O32" s="31"/>
      <c r="P32" s="124">
        <v>27500</v>
      </c>
      <c r="Q32" s="31"/>
      <c r="R32" s="31"/>
      <c r="S32" s="165"/>
      <c r="T32" s="31"/>
      <c r="U32" s="34"/>
      <c r="V32" s="5"/>
    </row>
    <row r="33" spans="1:22" x14ac:dyDescent="0.35">
      <c r="A33" s="24"/>
      <c r="B33" s="29" t="s">
        <v>141</v>
      </c>
      <c r="C33" s="32"/>
      <c r="D33" s="152">
        <f>D37*D31</f>
        <v>449308.31</v>
      </c>
      <c r="E33" s="36"/>
      <c r="F33" s="35">
        <f>F37*F31</f>
        <v>105000</v>
      </c>
      <c r="G33" s="35"/>
      <c r="H33" s="125">
        <f>H31*H37</f>
        <v>222000</v>
      </c>
      <c r="I33" s="35"/>
      <c r="J33" s="35">
        <f>J31*J37</f>
        <v>31000</v>
      </c>
      <c r="K33" s="35"/>
      <c r="L33" s="125">
        <f>L31*L37</f>
        <v>19500</v>
      </c>
      <c r="M33" s="35"/>
      <c r="N33" s="35">
        <f>N31*N37</f>
        <v>51500</v>
      </c>
      <c r="O33" s="35"/>
      <c r="P33" s="125">
        <f>P31*P37</f>
        <v>27500</v>
      </c>
      <c r="Q33" s="31"/>
      <c r="R33" s="31"/>
      <c r="S33" s="165"/>
      <c r="T33" s="31"/>
      <c r="U33" s="34"/>
      <c r="V33" s="5"/>
    </row>
    <row r="34" spans="1:22" x14ac:dyDescent="0.35">
      <c r="A34" s="28"/>
      <c r="B34" s="25" t="s">
        <v>296</v>
      </c>
      <c r="C34" s="36"/>
      <c r="D34" s="31">
        <v>631096</v>
      </c>
      <c r="E34" s="32"/>
      <c r="F34" s="31">
        <v>105000</v>
      </c>
      <c r="G34" s="31"/>
      <c r="H34" s="31">
        <v>150000</v>
      </c>
      <c r="I34" s="31"/>
      <c r="J34" s="31">
        <v>31000</v>
      </c>
      <c r="K34" s="31"/>
      <c r="L34" s="31">
        <v>13176</v>
      </c>
      <c r="M34" s="31"/>
      <c r="N34" s="31">
        <v>51500</v>
      </c>
      <c r="O34" s="31"/>
      <c r="P34" s="31">
        <v>18581</v>
      </c>
      <c r="Q34" s="35"/>
      <c r="R34" s="35"/>
      <c r="S34" s="37"/>
      <c r="T34" s="155">
        <f>SUM(C34:P34)</f>
        <v>1000353</v>
      </c>
      <c r="U34" s="34"/>
      <c r="V34" s="5"/>
    </row>
    <row r="35" spans="1:22" x14ac:dyDescent="0.35">
      <c r="A35" s="28"/>
      <c r="B35" s="25" t="s">
        <v>297</v>
      </c>
      <c r="C35" s="126"/>
      <c r="D35" s="31">
        <f>D34*D38</f>
        <v>333016.2324032</v>
      </c>
      <c r="E35" s="32"/>
      <c r="F35" s="31">
        <f>+F36</f>
        <v>105000</v>
      </c>
      <c r="G35" s="31"/>
      <c r="H35" s="31">
        <f>+H36</f>
        <v>150000</v>
      </c>
      <c r="I35" s="31"/>
      <c r="J35" s="31">
        <f>+J36</f>
        <v>31000</v>
      </c>
      <c r="K35" s="31"/>
      <c r="L35" s="31">
        <f>+L36</f>
        <v>13176</v>
      </c>
      <c r="M35" s="31"/>
      <c r="N35" s="31">
        <f>+N36</f>
        <v>51500</v>
      </c>
      <c r="O35" s="31"/>
      <c r="P35" s="31">
        <f>+P36</f>
        <v>18581</v>
      </c>
      <c r="Q35" s="31"/>
      <c r="R35" s="31"/>
      <c r="S35" s="165"/>
      <c r="T35" s="155">
        <f>SUM(C35:P35)</f>
        <v>702273.2324032</v>
      </c>
      <c r="U35" s="34"/>
      <c r="V35" s="5"/>
    </row>
    <row r="36" spans="1:22" x14ac:dyDescent="0.35">
      <c r="A36" s="28"/>
      <c r="B36" s="29" t="s">
        <v>298</v>
      </c>
      <c r="C36" s="126"/>
      <c r="D36" s="35">
        <f>D37*D34</f>
        <v>257778.79746159998</v>
      </c>
      <c r="E36" s="36"/>
      <c r="F36" s="35">
        <f>F37*F34</f>
        <v>105000</v>
      </c>
      <c r="G36" s="35"/>
      <c r="H36" s="35">
        <f>+H34*H37</f>
        <v>150000</v>
      </c>
      <c r="I36" s="35"/>
      <c r="J36" s="35">
        <f>+J34*J37</f>
        <v>31000</v>
      </c>
      <c r="K36" s="35"/>
      <c r="L36" s="35">
        <f>+L34*L37</f>
        <v>13176</v>
      </c>
      <c r="M36" s="35"/>
      <c r="N36" s="35">
        <f>+N34*N37</f>
        <v>51500</v>
      </c>
      <c r="O36" s="35"/>
      <c r="P36" s="35">
        <f>+P34*P37</f>
        <v>18581</v>
      </c>
      <c r="Q36" s="128"/>
      <c r="R36" s="128"/>
      <c r="S36" s="165"/>
      <c r="T36" s="156">
        <f>SUM(C36:P36)</f>
        <v>627035.79746160004</v>
      </c>
      <c r="U36" s="34"/>
      <c r="V36" s="5"/>
    </row>
    <row r="37" spans="1:22" x14ac:dyDescent="0.35">
      <c r="A37" s="24"/>
      <c r="B37" s="122" t="s">
        <v>137</v>
      </c>
      <c r="C37" s="25"/>
      <c r="D37" s="170">
        <v>0.40846209999999999</v>
      </c>
      <c r="E37" s="171"/>
      <c r="F37" s="170">
        <v>1</v>
      </c>
      <c r="G37" s="170"/>
      <c r="H37" s="170">
        <v>1</v>
      </c>
      <c r="I37" s="170"/>
      <c r="J37" s="170">
        <v>1</v>
      </c>
      <c r="K37" s="170"/>
      <c r="L37" s="170">
        <v>1</v>
      </c>
      <c r="M37" s="170"/>
      <c r="N37" s="170">
        <v>1</v>
      </c>
      <c r="O37" s="170"/>
      <c r="P37" s="170">
        <v>1</v>
      </c>
      <c r="Q37" s="30"/>
      <c r="R37" s="30"/>
      <c r="S37" s="164"/>
      <c r="T37" s="164"/>
      <c r="U37" s="25"/>
      <c r="V37" s="5"/>
    </row>
    <row r="38" spans="1:22" x14ac:dyDescent="0.35">
      <c r="A38" s="24"/>
      <c r="B38" s="122" t="s">
        <v>138</v>
      </c>
      <c r="C38" s="25"/>
      <c r="D38" s="170">
        <v>0.52767920000000001</v>
      </c>
      <c r="E38" s="171"/>
      <c r="F38" s="170">
        <v>1</v>
      </c>
      <c r="G38" s="170"/>
      <c r="H38" s="170">
        <v>1</v>
      </c>
      <c r="I38" s="170"/>
      <c r="J38" s="170">
        <v>1</v>
      </c>
      <c r="K38" s="170"/>
      <c r="L38" s="170">
        <v>1</v>
      </c>
      <c r="M38" s="170"/>
      <c r="N38" s="170">
        <v>1</v>
      </c>
      <c r="O38" s="170"/>
      <c r="P38" s="170">
        <v>1</v>
      </c>
      <c r="Q38" s="39"/>
      <c r="R38" s="38"/>
      <c r="S38" s="164"/>
      <c r="T38" s="39"/>
      <c r="U38" s="25"/>
      <c r="V38" s="5"/>
    </row>
    <row r="39" spans="1:22" x14ac:dyDescent="0.35">
      <c r="A39" s="24"/>
      <c r="B39" s="25" t="s">
        <v>11</v>
      </c>
      <c r="C39" s="25"/>
      <c r="D39" s="30" t="s">
        <v>283</v>
      </c>
      <c r="E39" s="25"/>
      <c r="F39" s="30" t="s">
        <v>207</v>
      </c>
      <c r="G39" s="30"/>
      <c r="H39" s="30" t="s">
        <v>207</v>
      </c>
      <c r="I39" s="30"/>
      <c r="J39" s="30" t="s">
        <v>208</v>
      </c>
      <c r="K39" s="30"/>
      <c r="L39" s="30" t="s">
        <v>208</v>
      </c>
      <c r="M39" s="30"/>
      <c r="N39" s="30" t="s">
        <v>209</v>
      </c>
      <c r="O39" s="30"/>
      <c r="P39" s="30" t="s">
        <v>209</v>
      </c>
      <c r="Q39" s="39"/>
      <c r="R39" s="38"/>
      <c r="S39" s="164"/>
      <c r="T39" s="164"/>
      <c r="U39" s="25"/>
      <c r="V39" s="5"/>
    </row>
    <row r="40" spans="1:22" x14ac:dyDescent="0.35">
      <c r="A40" s="24"/>
      <c r="B40" s="25" t="s">
        <v>12</v>
      </c>
      <c r="C40" s="25"/>
      <c r="D40" s="38">
        <v>3.2112500000000002E-2</v>
      </c>
      <c r="E40" s="25"/>
      <c r="F40" s="38">
        <v>6.5912499999999999E-2</v>
      </c>
      <c r="G40" s="39"/>
      <c r="H40" s="38">
        <v>5.108E-2</v>
      </c>
      <c r="I40" s="39"/>
      <c r="J40" s="38">
        <v>6.7012500000000003E-2</v>
      </c>
      <c r="K40" s="39"/>
      <c r="L40" s="38">
        <v>5.2179999999999997E-2</v>
      </c>
      <c r="M40" s="39"/>
      <c r="N40" s="38">
        <v>6.98125E-2</v>
      </c>
      <c r="O40" s="39"/>
      <c r="P40" s="38">
        <v>5.4980000000000001E-2</v>
      </c>
      <c r="Q40" s="39"/>
      <c r="R40" s="38"/>
      <c r="S40" s="164"/>
      <c r="T40" s="30"/>
      <c r="U40" s="25"/>
      <c r="V40" s="5"/>
    </row>
    <row r="41" spans="1:22" x14ac:dyDescent="0.35">
      <c r="A41" s="24"/>
      <c r="B41" s="25" t="s">
        <v>13</v>
      </c>
      <c r="C41" s="25"/>
      <c r="D41" s="38">
        <v>4.7418799999999997E-2</v>
      </c>
      <c r="E41" s="25"/>
      <c r="F41" s="38">
        <v>6.9112499999999993E-2</v>
      </c>
      <c r="G41" s="39"/>
      <c r="H41" s="38">
        <v>4.8899999999999999E-2</v>
      </c>
      <c r="I41" s="39"/>
      <c r="J41" s="38">
        <v>7.0212499999999997E-2</v>
      </c>
      <c r="K41" s="39"/>
      <c r="L41" s="38">
        <v>0.05</v>
      </c>
      <c r="M41" s="39"/>
      <c r="N41" s="38">
        <v>7.3012499999999994E-2</v>
      </c>
      <c r="O41" s="39"/>
      <c r="P41" s="38">
        <v>5.28E-2</v>
      </c>
      <c r="Q41" s="39"/>
      <c r="R41" s="38"/>
      <c r="S41" s="164"/>
      <c r="T41" s="39" t="s">
        <v>226</v>
      </c>
      <c r="U41" s="25"/>
      <c r="V41" s="5"/>
    </row>
    <row r="42" spans="1:22" x14ac:dyDescent="0.35">
      <c r="A42" s="24"/>
      <c r="B42" s="25" t="s">
        <v>299</v>
      </c>
      <c r="C42" s="25"/>
      <c r="D42" s="30" t="s">
        <v>284</v>
      </c>
      <c r="E42" s="25"/>
      <c r="F42" s="30" t="s">
        <v>207</v>
      </c>
      <c r="G42" s="30"/>
      <c r="H42" s="30" t="s">
        <v>280</v>
      </c>
      <c r="I42" s="30"/>
      <c r="J42" s="30" t="s">
        <v>208</v>
      </c>
      <c r="K42" s="30"/>
      <c r="L42" s="30" t="s">
        <v>281</v>
      </c>
      <c r="M42" s="30"/>
      <c r="N42" s="30" t="s">
        <v>209</v>
      </c>
      <c r="O42" s="30"/>
      <c r="P42" s="30" t="s">
        <v>236</v>
      </c>
      <c r="Q42" s="39"/>
      <c r="R42" s="38"/>
      <c r="S42" s="164"/>
      <c r="T42" s="164"/>
      <c r="U42" s="25"/>
      <c r="V42" s="5"/>
    </row>
    <row r="43" spans="1:22" x14ac:dyDescent="0.35">
      <c r="A43" s="24"/>
      <c r="B43" s="25" t="s">
        <v>300</v>
      </c>
      <c r="C43" s="110"/>
      <c r="D43" s="38">
        <v>6.5468100000000001E-2</v>
      </c>
      <c r="E43" s="25"/>
      <c r="F43" s="38">
        <f>+F40</f>
        <v>6.5912499999999999E-2</v>
      </c>
      <c r="G43" s="39"/>
      <c r="H43" s="38">
        <v>6.6137500000000002E-2</v>
      </c>
      <c r="I43" s="39"/>
      <c r="J43" s="38">
        <f>+J40</f>
        <v>6.7012500000000003E-2</v>
      </c>
      <c r="K43" s="39"/>
      <c r="L43" s="38">
        <v>6.7377500000000007E-2</v>
      </c>
      <c r="M43" s="39"/>
      <c r="N43" s="38">
        <f>+N40</f>
        <v>6.98125E-2</v>
      </c>
      <c r="O43" s="39"/>
      <c r="P43" s="38">
        <v>7.0427500000000004E-2</v>
      </c>
      <c r="Q43" s="30"/>
      <c r="R43" s="30"/>
      <c r="S43" s="164"/>
      <c r="T43" s="39">
        <f>SUMPRODUCT(D43:P43,D35:P35)/T35</f>
        <v>6.6231326962197898E-2</v>
      </c>
      <c r="U43" s="25"/>
      <c r="V43" s="5"/>
    </row>
    <row r="44" spans="1:22" x14ac:dyDescent="0.35">
      <c r="A44" s="24"/>
      <c r="B44" s="25" t="s">
        <v>301</v>
      </c>
      <c r="C44" s="110"/>
      <c r="D44" s="38">
        <v>6.8668099999999996E-2</v>
      </c>
      <c r="E44" s="25"/>
      <c r="F44" s="38">
        <f>+F41</f>
        <v>6.9112499999999993E-2</v>
      </c>
      <c r="G44" s="39"/>
      <c r="H44" s="38">
        <v>6.9337499999999996E-2</v>
      </c>
      <c r="I44" s="39"/>
      <c r="J44" s="38">
        <f>+J41</f>
        <v>7.0212499999999997E-2</v>
      </c>
      <c r="K44" s="39"/>
      <c r="L44" s="38">
        <v>7.0577500000000001E-2</v>
      </c>
      <c r="M44" s="39"/>
      <c r="N44" s="38">
        <f>+N41</f>
        <v>7.3012499999999994E-2</v>
      </c>
      <c r="O44" s="39"/>
      <c r="P44" s="38">
        <v>7.3627499999999999E-2</v>
      </c>
      <c r="Q44" s="30"/>
      <c r="R44" s="30"/>
      <c r="S44" s="164"/>
      <c r="T44" s="164"/>
      <c r="U44" s="25"/>
      <c r="V44" s="5"/>
    </row>
    <row r="45" spans="1:22" x14ac:dyDescent="0.35">
      <c r="A45" s="24"/>
      <c r="B45" s="25" t="s">
        <v>14</v>
      </c>
      <c r="C45" s="25"/>
      <c r="D45" s="110">
        <v>40162</v>
      </c>
      <c r="E45" s="110"/>
      <c r="F45" s="110">
        <v>40162</v>
      </c>
      <c r="G45" s="110"/>
      <c r="H45" s="110">
        <v>40162</v>
      </c>
      <c r="I45" s="110"/>
      <c r="J45" s="110">
        <v>40162</v>
      </c>
      <c r="K45" s="110"/>
      <c r="L45" s="110">
        <v>40162</v>
      </c>
      <c r="M45" s="110"/>
      <c r="N45" s="110">
        <v>40162</v>
      </c>
      <c r="O45" s="110"/>
      <c r="P45" s="110">
        <v>40162</v>
      </c>
      <c r="Q45" s="30"/>
      <c r="R45" s="30"/>
      <c r="S45" s="164"/>
      <c r="T45" s="164"/>
      <c r="U45" s="25"/>
      <c r="V45" s="5"/>
    </row>
    <row r="46" spans="1:22" x14ac:dyDescent="0.35">
      <c r="A46" s="24"/>
      <c r="B46" s="25" t="s">
        <v>15</v>
      </c>
      <c r="C46" s="25"/>
      <c r="D46" s="110">
        <v>40527</v>
      </c>
      <c r="E46" s="110"/>
      <c r="F46" s="110">
        <v>40527</v>
      </c>
      <c r="G46" s="110"/>
      <c r="H46" s="110">
        <v>40527</v>
      </c>
      <c r="I46" s="30"/>
      <c r="J46" s="110">
        <v>40527</v>
      </c>
      <c r="K46" s="30"/>
      <c r="L46" s="110">
        <v>40527</v>
      </c>
      <c r="M46" s="30"/>
      <c r="N46" s="110">
        <v>40527</v>
      </c>
      <c r="O46" s="30"/>
      <c r="P46" s="110">
        <v>40527</v>
      </c>
      <c r="Q46" s="30"/>
      <c r="R46" s="30"/>
      <c r="S46" s="164"/>
      <c r="T46" s="164"/>
      <c r="U46" s="25"/>
      <c r="V46" s="5"/>
    </row>
    <row r="47" spans="1:22" x14ac:dyDescent="0.35">
      <c r="A47" s="24"/>
      <c r="B47" s="25" t="s">
        <v>126</v>
      </c>
      <c r="C47" s="25"/>
      <c r="D47" s="161" t="s">
        <v>125</v>
      </c>
      <c r="E47" s="25"/>
      <c r="F47" s="30" t="s">
        <v>179</v>
      </c>
      <c r="G47" s="30"/>
      <c r="H47" s="30" t="s">
        <v>179</v>
      </c>
      <c r="I47" s="30"/>
      <c r="J47" s="30" t="s">
        <v>210</v>
      </c>
      <c r="K47" s="30"/>
      <c r="L47" s="30" t="s">
        <v>210</v>
      </c>
      <c r="M47" s="30"/>
      <c r="N47" s="30" t="s">
        <v>211</v>
      </c>
      <c r="O47" s="30"/>
      <c r="P47" s="30" t="s">
        <v>211</v>
      </c>
      <c r="Q47" s="40"/>
      <c r="R47" s="40"/>
      <c r="S47" s="40"/>
      <c r="T47" s="40"/>
      <c r="U47" s="25"/>
      <c r="V47" s="5"/>
    </row>
    <row r="48" spans="1:22" x14ac:dyDescent="0.35">
      <c r="A48" s="24"/>
      <c r="B48" s="25" t="s">
        <v>302</v>
      </c>
      <c r="C48" s="25"/>
      <c r="D48" s="30" t="s">
        <v>238</v>
      </c>
      <c r="E48" s="25"/>
      <c r="F48" s="30" t="s">
        <v>179</v>
      </c>
      <c r="G48" s="30"/>
      <c r="H48" s="30" t="s">
        <v>239</v>
      </c>
      <c r="I48" s="30"/>
      <c r="J48" s="30" t="s">
        <v>210</v>
      </c>
      <c r="K48" s="30"/>
      <c r="L48" s="30" t="s">
        <v>236</v>
      </c>
      <c r="M48" s="30"/>
      <c r="N48" s="30" t="s">
        <v>211</v>
      </c>
      <c r="O48" s="30"/>
      <c r="P48" s="30" t="s">
        <v>240</v>
      </c>
      <c r="Q48" s="25"/>
      <c r="R48" s="25"/>
      <c r="S48" s="25"/>
      <c r="T48" s="39"/>
      <c r="U48" s="25"/>
      <c r="V48" s="5"/>
    </row>
    <row r="49" spans="1:23" x14ac:dyDescent="0.35">
      <c r="A49" s="24"/>
      <c r="B49" s="25"/>
      <c r="C49" s="25"/>
      <c r="D49" s="30"/>
      <c r="E49" s="25"/>
      <c r="F49" s="30"/>
      <c r="G49" s="30"/>
      <c r="H49" s="30"/>
      <c r="I49" s="30"/>
      <c r="J49" s="30"/>
      <c r="K49" s="30"/>
      <c r="L49" s="30"/>
      <c r="M49" s="30"/>
      <c r="N49" s="30"/>
      <c r="O49" s="30"/>
      <c r="P49" s="30"/>
      <c r="Q49" s="25"/>
      <c r="R49" s="25"/>
      <c r="S49" s="25"/>
      <c r="T49" s="39" t="s">
        <v>226</v>
      </c>
      <c r="U49" s="25"/>
      <c r="V49" s="5"/>
    </row>
    <row r="50" spans="1:23" x14ac:dyDescent="0.35">
      <c r="A50" s="24"/>
      <c r="B50" s="25" t="s">
        <v>180</v>
      </c>
      <c r="C50" s="25"/>
      <c r="D50" s="30"/>
      <c r="E50" s="25"/>
      <c r="F50" s="30"/>
      <c r="G50" s="30"/>
      <c r="H50" s="30"/>
      <c r="I50" s="30"/>
      <c r="J50" s="30"/>
      <c r="K50" s="30"/>
      <c r="L50" s="30"/>
      <c r="M50" s="30"/>
      <c r="N50" s="30"/>
      <c r="O50" s="30"/>
      <c r="P50" s="30"/>
      <c r="Q50" s="25"/>
      <c r="R50" s="25"/>
      <c r="S50" s="25"/>
      <c r="T50" s="39">
        <f>SUM(J34:P34)/SUM(D34:H34)</f>
        <v>0.12894426788970947</v>
      </c>
      <c r="U50" s="25"/>
      <c r="V50" s="5"/>
    </row>
    <row r="51" spans="1:23" x14ac:dyDescent="0.35">
      <c r="A51" s="24"/>
      <c r="B51" s="25" t="s">
        <v>181</v>
      </c>
      <c r="C51" s="25"/>
      <c r="D51" s="25"/>
      <c r="E51" s="25"/>
      <c r="F51" s="41"/>
      <c r="G51" s="25"/>
      <c r="H51" s="25"/>
      <c r="I51" s="25"/>
      <c r="J51" s="25"/>
      <c r="K51" s="25"/>
      <c r="L51" s="25"/>
      <c r="M51" s="25"/>
      <c r="N51" s="25"/>
      <c r="O51" s="25"/>
      <c r="P51" s="25"/>
      <c r="Q51" s="25"/>
      <c r="R51" s="25"/>
      <c r="S51" s="25"/>
      <c r="T51" s="39">
        <f>SUM(J36:P36)/SUM(D36:H36)</f>
        <v>0.22281927522277531</v>
      </c>
      <c r="U51" s="25"/>
      <c r="V51" s="5"/>
    </row>
    <row r="52" spans="1:23" x14ac:dyDescent="0.35">
      <c r="A52" s="24"/>
      <c r="B52" s="25" t="s">
        <v>182</v>
      </c>
      <c r="C52" s="25"/>
      <c r="D52" s="25"/>
      <c r="E52" s="25"/>
      <c r="F52" s="25"/>
      <c r="G52" s="25"/>
      <c r="H52" s="25"/>
      <c r="I52" s="25"/>
      <c r="J52" s="25"/>
      <c r="K52" s="25"/>
      <c r="L52" s="25"/>
      <c r="M52" s="25"/>
      <c r="N52" s="25"/>
      <c r="O52" s="25"/>
      <c r="P52" s="25"/>
      <c r="Q52" s="25"/>
      <c r="R52" s="30" t="s">
        <v>110</v>
      </c>
      <c r="S52" s="30" t="s">
        <v>116</v>
      </c>
      <c r="T52" s="31">
        <f>+T34/2-SUM(J34:P34)</f>
        <v>385919.5</v>
      </c>
      <c r="U52" s="25"/>
      <c r="V52" s="5"/>
    </row>
    <row r="53" spans="1:23" x14ac:dyDescent="0.35">
      <c r="A53" s="24"/>
      <c r="B53" s="25"/>
      <c r="C53" s="25"/>
      <c r="D53" s="25"/>
      <c r="E53" s="25"/>
      <c r="F53" s="25"/>
      <c r="G53" s="25"/>
      <c r="H53" s="25"/>
      <c r="I53" s="25"/>
      <c r="J53" s="25"/>
      <c r="K53" s="25"/>
      <c r="L53" s="25"/>
      <c r="M53" s="25"/>
      <c r="N53" s="25"/>
      <c r="O53" s="25"/>
      <c r="P53" s="25"/>
      <c r="Q53" s="25"/>
      <c r="R53" s="25" t="s">
        <v>291</v>
      </c>
      <c r="S53" s="25"/>
      <c r="T53" s="42"/>
      <c r="U53" s="25"/>
      <c r="V53" s="5"/>
    </row>
    <row r="54" spans="1:23" x14ac:dyDescent="0.35">
      <c r="A54" s="24"/>
      <c r="B54" s="25" t="s">
        <v>243</v>
      </c>
      <c r="C54" s="25"/>
      <c r="D54" s="25"/>
      <c r="E54" s="25"/>
      <c r="F54" s="25"/>
      <c r="G54" s="25"/>
      <c r="H54" s="25"/>
      <c r="I54" s="25"/>
      <c r="J54" s="25"/>
      <c r="K54" s="25"/>
      <c r="L54" s="25"/>
      <c r="M54" s="25"/>
      <c r="N54" s="25"/>
      <c r="O54" s="25"/>
      <c r="P54" s="25"/>
      <c r="Q54" s="25"/>
      <c r="R54" s="25"/>
      <c r="S54" s="25"/>
      <c r="T54" s="157" t="s">
        <v>244</v>
      </c>
      <c r="U54" s="25"/>
      <c r="V54" s="5"/>
    </row>
    <row r="55" spans="1:23" x14ac:dyDescent="0.35">
      <c r="A55" s="24"/>
      <c r="B55" s="25" t="s">
        <v>245</v>
      </c>
      <c r="C55" s="25"/>
      <c r="D55" s="25"/>
      <c r="E55" s="25"/>
      <c r="F55" s="25"/>
      <c r="G55" s="25"/>
      <c r="H55" s="25"/>
      <c r="I55" s="25"/>
      <c r="J55" s="25"/>
      <c r="K55" s="25"/>
      <c r="L55" s="25"/>
      <c r="M55" s="25"/>
      <c r="N55" s="25"/>
      <c r="O55" s="25"/>
      <c r="P55" s="25"/>
      <c r="Q55" s="25"/>
      <c r="R55" s="30"/>
      <c r="S55" s="30"/>
      <c r="T55" s="158" t="s">
        <v>118</v>
      </c>
      <c r="U55" s="25"/>
      <c r="V55" s="5"/>
    </row>
    <row r="56" spans="1:23" x14ac:dyDescent="0.35">
      <c r="A56" s="24"/>
      <c r="B56" s="29" t="s">
        <v>242</v>
      </c>
      <c r="C56" s="29"/>
      <c r="D56" s="29"/>
      <c r="E56" s="29"/>
      <c r="F56" s="29"/>
      <c r="G56" s="29"/>
      <c r="H56" s="29"/>
      <c r="I56" s="29"/>
      <c r="J56" s="29"/>
      <c r="K56" s="29"/>
      <c r="L56" s="29"/>
      <c r="M56" s="29"/>
      <c r="N56" s="29"/>
      <c r="O56" s="29"/>
      <c r="P56" s="29"/>
      <c r="Q56" s="29"/>
      <c r="R56" s="43"/>
      <c r="S56" s="43"/>
      <c r="T56" s="44">
        <v>39524</v>
      </c>
      <c r="U56" s="25"/>
      <c r="V56" s="5"/>
    </row>
    <row r="57" spans="1:23" x14ac:dyDescent="0.35">
      <c r="A57" s="24"/>
      <c r="B57" s="25" t="s">
        <v>128</v>
      </c>
      <c r="C57" s="25"/>
      <c r="D57" s="25"/>
      <c r="E57" s="25"/>
      <c r="F57" s="25"/>
      <c r="G57" s="25"/>
      <c r="H57" s="58"/>
      <c r="I57" s="58"/>
      <c r="J57" s="58"/>
      <c r="K57" s="58"/>
      <c r="L57" s="58"/>
      <c r="M57" s="58"/>
      <c r="N57" s="58"/>
      <c r="O57" s="58"/>
      <c r="P57" s="25">
        <f>+T57-R57+1</f>
        <v>91</v>
      </c>
      <c r="Q57" s="25"/>
      <c r="R57" s="45">
        <v>39342</v>
      </c>
      <c r="S57" s="46"/>
      <c r="T57" s="45">
        <v>39432</v>
      </c>
      <c r="U57" s="25"/>
      <c r="V57" s="5"/>
    </row>
    <row r="58" spans="1:23" x14ac:dyDescent="0.35">
      <c r="A58" s="24"/>
      <c r="B58" s="25" t="s">
        <v>129</v>
      </c>
      <c r="C58" s="25"/>
      <c r="D58" s="25"/>
      <c r="E58" s="25"/>
      <c r="F58" s="25"/>
      <c r="G58" s="25"/>
      <c r="H58" s="25"/>
      <c r="I58" s="25"/>
      <c r="J58" s="25"/>
      <c r="K58" s="25"/>
      <c r="L58" s="25"/>
      <c r="M58" s="25"/>
      <c r="N58" s="25"/>
      <c r="O58" s="25"/>
      <c r="P58" s="25">
        <f>+T58-R58+1</f>
        <v>91</v>
      </c>
      <c r="Q58" s="25"/>
      <c r="R58" s="45">
        <v>39433</v>
      </c>
      <c r="S58" s="46"/>
      <c r="T58" s="45">
        <v>39523</v>
      </c>
      <c r="U58" s="25"/>
      <c r="V58" s="5"/>
    </row>
    <row r="59" spans="1:23" x14ac:dyDescent="0.35">
      <c r="A59" s="24"/>
      <c r="B59" s="25" t="s">
        <v>241</v>
      </c>
      <c r="C59" s="25"/>
      <c r="D59" s="25"/>
      <c r="E59" s="25"/>
      <c r="F59" s="25"/>
      <c r="G59" s="25"/>
      <c r="H59" s="25"/>
      <c r="I59" s="25"/>
      <c r="J59" s="25"/>
      <c r="K59" s="25"/>
      <c r="L59" s="25"/>
      <c r="M59" s="25"/>
      <c r="N59" s="25"/>
      <c r="O59" s="25"/>
      <c r="P59" s="25"/>
      <c r="Q59" s="25"/>
      <c r="R59" s="45"/>
      <c r="S59" s="46"/>
      <c r="T59" s="45" t="s">
        <v>127</v>
      </c>
      <c r="U59" s="25"/>
      <c r="V59" s="5"/>
    </row>
    <row r="60" spans="1:23" x14ac:dyDescent="0.35">
      <c r="A60" s="24"/>
      <c r="B60" s="25" t="s">
        <v>227</v>
      </c>
      <c r="C60" s="25"/>
      <c r="D60" s="25"/>
      <c r="E60" s="25"/>
      <c r="F60" s="25"/>
      <c r="G60" s="25"/>
      <c r="H60" s="25"/>
      <c r="I60" s="25"/>
      <c r="J60" s="25"/>
      <c r="K60" s="25"/>
      <c r="L60" s="25"/>
      <c r="M60" s="25"/>
      <c r="N60" s="25"/>
      <c r="O60" s="25"/>
      <c r="P60" s="25"/>
      <c r="Q60" s="25"/>
      <c r="R60" s="45"/>
      <c r="S60" s="46"/>
      <c r="T60" s="45" t="s">
        <v>162</v>
      </c>
      <c r="U60" s="25"/>
      <c r="V60" s="5"/>
      <c r="W60" s="135"/>
    </row>
    <row r="61" spans="1:23" x14ac:dyDescent="0.35">
      <c r="A61" s="24"/>
      <c r="B61" s="25" t="s">
        <v>16</v>
      </c>
      <c r="C61" s="25"/>
      <c r="D61" s="25"/>
      <c r="E61" s="25"/>
      <c r="F61" s="25"/>
      <c r="G61" s="25"/>
      <c r="H61" s="25"/>
      <c r="I61" s="25"/>
      <c r="J61" s="25"/>
      <c r="K61" s="25"/>
      <c r="L61" s="25"/>
      <c r="M61" s="25"/>
      <c r="N61" s="25"/>
      <c r="O61" s="25"/>
      <c r="P61" s="25"/>
      <c r="Q61" s="25"/>
      <c r="R61" s="45"/>
      <c r="S61" s="46"/>
      <c r="T61" s="45">
        <v>39510</v>
      </c>
      <c r="U61" s="25"/>
      <c r="V61" s="5"/>
    </row>
    <row r="62" spans="1:23" x14ac:dyDescent="0.35">
      <c r="A62" s="24"/>
      <c r="B62" s="25"/>
      <c r="C62" s="25"/>
      <c r="D62" s="25"/>
      <c r="E62" s="25"/>
      <c r="F62" s="25"/>
      <c r="G62" s="25"/>
      <c r="H62" s="25"/>
      <c r="I62" s="25"/>
      <c r="J62" s="25"/>
      <c r="K62" s="25"/>
      <c r="L62" s="25"/>
      <c r="M62" s="25"/>
      <c r="N62" s="25"/>
      <c r="O62" s="25"/>
      <c r="P62" s="25"/>
      <c r="Q62" s="25"/>
      <c r="R62" s="45"/>
      <c r="S62" s="46"/>
      <c r="T62" s="45"/>
      <c r="U62" s="25"/>
      <c r="V62" s="5"/>
    </row>
    <row r="63" spans="1:23" x14ac:dyDescent="0.35">
      <c r="A63" s="6"/>
      <c r="B63" s="8"/>
      <c r="C63" s="8"/>
      <c r="D63" s="8"/>
      <c r="E63" s="8"/>
      <c r="F63" s="8"/>
      <c r="G63" s="8"/>
      <c r="H63" s="8"/>
      <c r="I63" s="8"/>
      <c r="J63" s="8"/>
      <c r="K63" s="8"/>
      <c r="L63" s="8"/>
      <c r="M63" s="8"/>
      <c r="N63" s="8"/>
      <c r="O63" s="8"/>
      <c r="P63" s="8"/>
      <c r="Q63" s="8"/>
      <c r="R63" s="47"/>
      <c r="S63" s="48"/>
      <c r="T63" s="47"/>
      <c r="U63" s="8"/>
      <c r="V63" s="5"/>
    </row>
    <row r="64" spans="1:23" ht="18" thickBot="1" x14ac:dyDescent="0.4">
      <c r="A64" s="101"/>
      <c r="B64" s="102" t="s">
        <v>286</v>
      </c>
      <c r="C64" s="103"/>
      <c r="D64" s="103"/>
      <c r="E64" s="103"/>
      <c r="F64" s="103"/>
      <c r="G64" s="103"/>
      <c r="H64" s="103"/>
      <c r="I64" s="103"/>
      <c r="J64" s="103"/>
      <c r="K64" s="103"/>
      <c r="L64" s="103"/>
      <c r="M64" s="103"/>
      <c r="N64" s="103"/>
      <c r="O64" s="103"/>
      <c r="P64" s="103"/>
      <c r="Q64" s="103"/>
      <c r="R64" s="103"/>
      <c r="S64" s="103"/>
      <c r="T64" s="104"/>
      <c r="U64" s="105"/>
      <c r="V64" s="5"/>
    </row>
    <row r="65" spans="1:22" x14ac:dyDescent="0.35">
      <c r="A65" s="2"/>
      <c r="B65" s="4"/>
      <c r="C65" s="4"/>
      <c r="D65" s="4"/>
      <c r="E65" s="4"/>
      <c r="F65" s="4"/>
      <c r="G65" s="4"/>
      <c r="H65" s="4"/>
      <c r="I65" s="4"/>
      <c r="J65" s="4"/>
      <c r="K65" s="4"/>
      <c r="L65" s="4"/>
      <c r="M65" s="4"/>
      <c r="N65" s="4"/>
      <c r="O65" s="4"/>
      <c r="P65" s="4"/>
      <c r="Q65" s="4"/>
      <c r="R65" s="4"/>
      <c r="S65" s="4"/>
      <c r="T65" s="50"/>
      <c r="U65" s="4"/>
      <c r="V65" s="5"/>
    </row>
    <row r="66" spans="1:22" x14ac:dyDescent="0.35">
      <c r="A66" s="6"/>
      <c r="B66" s="51" t="s">
        <v>17</v>
      </c>
      <c r="C66" s="8"/>
      <c r="D66" s="8"/>
      <c r="E66" s="8"/>
      <c r="F66" s="8"/>
      <c r="G66" s="8"/>
      <c r="H66" s="8"/>
      <c r="I66" s="8"/>
      <c r="J66" s="8"/>
      <c r="K66" s="8"/>
      <c r="L66" s="8"/>
      <c r="M66" s="8"/>
      <c r="N66" s="8"/>
      <c r="O66" s="8"/>
      <c r="P66" s="8"/>
      <c r="Q66" s="8"/>
      <c r="R66" s="8"/>
      <c r="S66" s="8"/>
      <c r="T66" s="52"/>
      <c r="U66" s="8"/>
      <c r="V66" s="5"/>
    </row>
    <row r="67" spans="1:22" x14ac:dyDescent="0.35">
      <c r="A67" s="6"/>
      <c r="B67" s="13"/>
      <c r="C67" s="8"/>
      <c r="D67" s="8"/>
      <c r="E67" s="8"/>
      <c r="F67" s="8"/>
      <c r="G67" s="8"/>
      <c r="H67" s="8"/>
      <c r="I67" s="8"/>
      <c r="J67" s="8"/>
      <c r="K67" s="8"/>
      <c r="L67" s="8"/>
      <c r="M67" s="8"/>
      <c r="N67" s="8"/>
      <c r="O67" s="8"/>
      <c r="P67" s="8"/>
      <c r="Q67" s="8"/>
      <c r="R67" s="8"/>
      <c r="S67" s="8"/>
      <c r="T67" s="52"/>
      <c r="U67" s="8"/>
      <c r="V67" s="5"/>
    </row>
    <row r="68" spans="1:22" ht="45" x14ac:dyDescent="0.35">
      <c r="A68" s="6"/>
      <c r="B68" s="114" t="s">
        <v>18</v>
      </c>
      <c r="C68" s="115"/>
      <c r="D68" s="115"/>
      <c r="E68" s="115"/>
      <c r="F68" s="115"/>
      <c r="G68" s="115"/>
      <c r="H68" s="115"/>
      <c r="I68" s="115"/>
      <c r="J68" s="115" t="s">
        <v>98</v>
      </c>
      <c r="K68" s="115"/>
      <c r="L68" s="115" t="s">
        <v>100</v>
      </c>
      <c r="M68" s="115"/>
      <c r="N68" s="115" t="s">
        <v>102</v>
      </c>
      <c r="O68" s="115"/>
      <c r="P68" s="115" t="s">
        <v>104</v>
      </c>
      <c r="Q68" s="115"/>
      <c r="R68" s="115" t="s">
        <v>111</v>
      </c>
      <c r="S68" s="115"/>
      <c r="T68" s="116" t="s">
        <v>119</v>
      </c>
      <c r="U68" s="117"/>
      <c r="V68" s="5"/>
    </row>
    <row r="69" spans="1:22" x14ac:dyDescent="0.35">
      <c r="A69" s="24"/>
      <c r="B69" s="25" t="s">
        <v>19</v>
      </c>
      <c r="C69" s="34"/>
      <c r="D69" s="34"/>
      <c r="E69" s="34"/>
      <c r="F69" s="34"/>
      <c r="G69" s="34"/>
      <c r="H69" s="34"/>
      <c r="I69" s="34"/>
      <c r="J69" s="34">
        <v>1000296</v>
      </c>
      <c r="K69" s="34"/>
      <c r="L69" s="53">
        <v>702273</v>
      </c>
      <c r="M69" s="34"/>
      <c r="N69" s="34">
        <f>75237+1699+1491</f>
        <v>78427</v>
      </c>
      <c r="O69" s="34"/>
      <c r="P69" s="34">
        <f>1699+1491</f>
        <v>3190</v>
      </c>
      <c r="Q69" s="34"/>
      <c r="R69" s="34">
        <v>0</v>
      </c>
      <c r="S69" s="34"/>
      <c r="T69" s="53">
        <f>+L69-N69+P69-R69</f>
        <v>627036</v>
      </c>
      <c r="U69" s="25"/>
      <c r="V69" s="5"/>
    </row>
    <row r="70" spans="1:22" x14ac:dyDescent="0.35">
      <c r="A70" s="24"/>
      <c r="B70" s="25" t="s">
        <v>20</v>
      </c>
      <c r="C70" s="34"/>
      <c r="D70" s="34"/>
      <c r="E70" s="34"/>
      <c r="F70" s="34"/>
      <c r="G70" s="34"/>
      <c r="H70" s="34"/>
      <c r="I70" s="34"/>
      <c r="J70" s="34">
        <v>54</v>
      </c>
      <c r="K70" s="34"/>
      <c r="L70" s="53">
        <v>0</v>
      </c>
      <c r="M70" s="34"/>
      <c r="N70" s="34">
        <v>0</v>
      </c>
      <c r="O70" s="34"/>
      <c r="P70" s="34">
        <v>0</v>
      </c>
      <c r="Q70" s="34"/>
      <c r="R70" s="34">
        <v>0</v>
      </c>
      <c r="S70" s="34"/>
      <c r="T70" s="53">
        <v>0</v>
      </c>
      <c r="U70" s="25"/>
      <c r="V70" s="5"/>
    </row>
    <row r="71" spans="1:22" x14ac:dyDescent="0.35">
      <c r="A71" s="24"/>
      <c r="B71" s="25"/>
      <c r="C71" s="34"/>
      <c r="D71" s="34"/>
      <c r="E71" s="34"/>
      <c r="F71" s="34"/>
      <c r="G71" s="34"/>
      <c r="H71" s="34"/>
      <c r="I71" s="34"/>
      <c r="J71" s="34"/>
      <c r="K71" s="34"/>
      <c r="L71" s="53"/>
      <c r="M71" s="34"/>
      <c r="N71" s="34"/>
      <c r="O71" s="34"/>
      <c r="P71" s="34"/>
      <c r="Q71" s="34"/>
      <c r="R71" s="34"/>
      <c r="S71" s="34"/>
      <c r="T71" s="53"/>
      <c r="U71" s="25"/>
      <c r="V71" s="5"/>
    </row>
    <row r="72" spans="1:22" x14ac:dyDescent="0.35">
      <c r="A72" s="24"/>
      <c r="B72" s="25" t="s">
        <v>21</v>
      </c>
      <c r="C72" s="34"/>
      <c r="D72" s="34"/>
      <c r="E72" s="34"/>
      <c r="F72" s="34"/>
      <c r="G72" s="34"/>
      <c r="H72" s="34"/>
      <c r="I72" s="34"/>
      <c r="J72" s="34">
        <f>SUM(J69:J71)</f>
        <v>1000350</v>
      </c>
      <c r="K72" s="34"/>
      <c r="L72" s="54">
        <f>L69+L70</f>
        <v>702273</v>
      </c>
      <c r="M72" s="34"/>
      <c r="N72" s="34">
        <f>SUM(N69:N71)</f>
        <v>78427</v>
      </c>
      <c r="O72" s="34"/>
      <c r="P72" s="34">
        <f>SUM(P69:P71)</f>
        <v>3190</v>
      </c>
      <c r="Q72" s="34"/>
      <c r="R72" s="34">
        <f>SUM(R69:R71)</f>
        <v>0</v>
      </c>
      <c r="S72" s="34"/>
      <c r="T72" s="54">
        <f>SUM(T69:T71)</f>
        <v>627036</v>
      </c>
      <c r="U72" s="25"/>
      <c r="V72" s="5"/>
    </row>
    <row r="73" spans="1:22" x14ac:dyDescent="0.35">
      <c r="A73" s="24"/>
      <c r="B73" s="25"/>
      <c r="C73" s="34"/>
      <c r="D73" s="34"/>
      <c r="E73" s="34"/>
      <c r="F73" s="34"/>
      <c r="G73" s="34"/>
      <c r="H73" s="34"/>
      <c r="I73" s="34"/>
      <c r="J73" s="34"/>
      <c r="K73" s="34"/>
      <c r="L73" s="34"/>
      <c r="M73" s="34"/>
      <c r="N73" s="34"/>
      <c r="O73" s="34"/>
      <c r="P73" s="34"/>
      <c r="Q73" s="34"/>
      <c r="R73" s="34"/>
      <c r="S73" s="34"/>
      <c r="T73" s="54"/>
      <c r="U73" s="25"/>
      <c r="V73" s="5"/>
    </row>
    <row r="74" spans="1:22" x14ac:dyDescent="0.35">
      <c r="A74" s="6"/>
      <c r="B74" s="111" t="s">
        <v>22</v>
      </c>
      <c r="C74" s="55"/>
      <c r="D74" s="55"/>
      <c r="E74" s="55"/>
      <c r="F74" s="55"/>
      <c r="G74" s="55"/>
      <c r="H74" s="55"/>
      <c r="I74" s="55"/>
      <c r="J74" s="55"/>
      <c r="K74" s="55"/>
      <c r="L74" s="55"/>
      <c r="M74" s="55"/>
      <c r="N74" s="55"/>
      <c r="O74" s="55"/>
      <c r="P74" s="55"/>
      <c r="Q74" s="55"/>
      <c r="R74" s="55"/>
      <c r="S74" s="55"/>
      <c r="T74" s="56"/>
      <c r="U74" s="8"/>
      <c r="V74" s="5"/>
    </row>
    <row r="75" spans="1:22" x14ac:dyDescent="0.35">
      <c r="A75" s="6"/>
      <c r="B75" s="8"/>
      <c r="C75" s="55"/>
      <c r="D75" s="55"/>
      <c r="E75" s="55"/>
      <c r="F75" s="55"/>
      <c r="G75" s="55"/>
      <c r="H75" s="55"/>
      <c r="I75" s="55"/>
      <c r="J75" s="55"/>
      <c r="K75" s="55"/>
      <c r="L75" s="55"/>
      <c r="M75" s="55"/>
      <c r="N75" s="55"/>
      <c r="O75" s="55"/>
      <c r="P75" s="55"/>
      <c r="Q75" s="55"/>
      <c r="R75" s="55"/>
      <c r="S75" s="55"/>
      <c r="T75" s="56"/>
      <c r="U75" s="8"/>
      <c r="V75" s="5"/>
    </row>
    <row r="76" spans="1:22" x14ac:dyDescent="0.35">
      <c r="A76" s="24"/>
      <c r="B76" s="25" t="s">
        <v>19</v>
      </c>
      <c r="C76" s="34"/>
      <c r="D76" s="34"/>
      <c r="E76" s="34"/>
      <c r="F76" s="34"/>
      <c r="G76" s="34"/>
      <c r="H76" s="34"/>
      <c r="I76" s="34"/>
      <c r="J76" s="34"/>
      <c r="K76" s="34"/>
      <c r="L76" s="34"/>
      <c r="M76" s="34"/>
      <c r="N76" s="34"/>
      <c r="O76" s="34"/>
      <c r="P76" s="34"/>
      <c r="Q76" s="34"/>
      <c r="R76" s="34"/>
      <c r="S76" s="34"/>
      <c r="T76" s="54"/>
      <c r="U76" s="25"/>
      <c r="V76" s="5"/>
    </row>
    <row r="77" spans="1:22" x14ac:dyDescent="0.35">
      <c r="A77" s="24"/>
      <c r="B77" s="25" t="s">
        <v>20</v>
      </c>
      <c r="C77" s="34"/>
      <c r="D77" s="34"/>
      <c r="E77" s="34"/>
      <c r="F77" s="34"/>
      <c r="G77" s="34"/>
      <c r="H77" s="34"/>
      <c r="I77" s="34"/>
      <c r="J77" s="34"/>
      <c r="K77" s="34"/>
      <c r="L77" s="34"/>
      <c r="M77" s="34"/>
      <c r="N77" s="34"/>
      <c r="O77" s="34"/>
      <c r="P77" s="34"/>
      <c r="Q77" s="34"/>
      <c r="R77" s="34"/>
      <c r="S77" s="34"/>
      <c r="T77" s="54"/>
      <c r="U77" s="25"/>
      <c r="V77" s="5"/>
    </row>
    <row r="78" spans="1:22" x14ac:dyDescent="0.35">
      <c r="A78" s="24"/>
      <c r="B78" s="25"/>
      <c r="C78" s="34"/>
      <c r="D78" s="34"/>
      <c r="E78" s="34"/>
      <c r="F78" s="34"/>
      <c r="G78" s="34"/>
      <c r="H78" s="34"/>
      <c r="I78" s="34"/>
      <c r="J78" s="34"/>
      <c r="K78" s="34"/>
      <c r="L78" s="34"/>
      <c r="M78" s="34"/>
      <c r="N78" s="34"/>
      <c r="O78" s="34"/>
      <c r="P78" s="34"/>
      <c r="Q78" s="34"/>
      <c r="R78" s="34"/>
      <c r="S78" s="34"/>
      <c r="T78" s="54"/>
      <c r="U78" s="25"/>
      <c r="V78" s="5"/>
    </row>
    <row r="79" spans="1:22" x14ac:dyDescent="0.35">
      <c r="A79" s="24"/>
      <c r="B79" s="25" t="s">
        <v>21</v>
      </c>
      <c r="C79" s="34"/>
      <c r="D79" s="34"/>
      <c r="E79" s="34"/>
      <c r="F79" s="34"/>
      <c r="G79" s="34"/>
      <c r="H79" s="34"/>
      <c r="I79" s="34"/>
      <c r="J79" s="34"/>
      <c r="K79" s="34"/>
      <c r="L79" s="34"/>
      <c r="M79" s="34"/>
      <c r="N79" s="34"/>
      <c r="O79" s="34"/>
      <c r="P79" s="34"/>
      <c r="Q79" s="34"/>
      <c r="R79" s="34"/>
      <c r="S79" s="34"/>
      <c r="T79" s="34"/>
      <c r="U79" s="25"/>
      <c r="V79" s="5"/>
    </row>
    <row r="80" spans="1:22" x14ac:dyDescent="0.35">
      <c r="A80" s="24"/>
      <c r="B80" s="25"/>
      <c r="C80" s="34"/>
      <c r="D80" s="34"/>
      <c r="E80" s="34"/>
      <c r="F80" s="34"/>
      <c r="G80" s="34"/>
      <c r="H80" s="34"/>
      <c r="I80" s="34"/>
      <c r="J80" s="34"/>
      <c r="K80" s="34"/>
      <c r="L80" s="34"/>
      <c r="M80" s="34"/>
      <c r="N80" s="34"/>
      <c r="O80" s="34"/>
      <c r="P80" s="34"/>
      <c r="Q80" s="34"/>
      <c r="R80" s="34"/>
      <c r="S80" s="34"/>
      <c r="T80" s="34"/>
      <c r="U80" s="25"/>
      <c r="V80" s="5"/>
    </row>
    <row r="81" spans="1:22" x14ac:dyDescent="0.35">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x14ac:dyDescent="0.35">
      <c r="A82" s="24"/>
      <c r="B82" s="25" t="s">
        <v>124</v>
      </c>
      <c r="C82" s="34"/>
      <c r="D82" s="34"/>
      <c r="E82" s="34"/>
      <c r="F82" s="34"/>
      <c r="G82" s="34"/>
      <c r="H82" s="34"/>
      <c r="I82" s="34"/>
      <c r="J82" s="34">
        <v>0</v>
      </c>
      <c r="K82" s="34"/>
      <c r="L82" s="34">
        <v>0</v>
      </c>
      <c r="M82" s="34"/>
      <c r="N82" s="34"/>
      <c r="O82" s="34"/>
      <c r="P82" s="34"/>
      <c r="Q82" s="34"/>
      <c r="R82" s="34"/>
      <c r="S82" s="34"/>
      <c r="T82" s="54">
        <f>SUM(J82:P82)</f>
        <v>0</v>
      </c>
      <c r="U82" s="25"/>
      <c r="V82" s="5"/>
    </row>
    <row r="83" spans="1:22" x14ac:dyDescent="0.35">
      <c r="A83" s="24"/>
      <c r="B83" s="25" t="s">
        <v>153</v>
      </c>
      <c r="C83" s="34"/>
      <c r="D83" s="34"/>
      <c r="E83" s="34"/>
      <c r="F83" s="34"/>
      <c r="G83" s="34"/>
      <c r="H83" s="34"/>
      <c r="I83" s="34"/>
      <c r="J83" s="34">
        <v>3</v>
      </c>
      <c r="K83" s="34"/>
      <c r="L83" s="34">
        <v>0</v>
      </c>
      <c r="M83" s="34"/>
      <c r="N83" s="34"/>
      <c r="O83" s="34"/>
      <c r="P83" s="34"/>
      <c r="Q83" s="34"/>
      <c r="R83" s="34"/>
      <c r="S83" s="34"/>
      <c r="T83" s="54">
        <f>+L83+N83</f>
        <v>0</v>
      </c>
      <c r="U83" s="25"/>
      <c r="V83" s="5"/>
    </row>
    <row r="84" spans="1:22" x14ac:dyDescent="0.35">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x14ac:dyDescent="0.35">
      <c r="A85" s="24"/>
      <c r="B85" s="25" t="s">
        <v>26</v>
      </c>
      <c r="C85" s="34"/>
      <c r="D85" s="34"/>
      <c r="E85" s="34"/>
      <c r="F85" s="54"/>
      <c r="G85" s="34"/>
      <c r="H85" s="54"/>
      <c r="I85" s="54"/>
      <c r="J85" s="54">
        <f>SUM(J72:J84)</f>
        <v>1000353</v>
      </c>
      <c r="K85" s="34"/>
      <c r="L85" s="54">
        <f>SUM(L72:L84)</f>
        <v>702273</v>
      </c>
      <c r="M85" s="34"/>
      <c r="N85" s="34"/>
      <c r="O85" s="34"/>
      <c r="P85" s="34"/>
      <c r="Q85" s="34"/>
      <c r="R85" s="54"/>
      <c r="S85" s="34"/>
      <c r="T85" s="54">
        <f>SUM(T72:T84)</f>
        <v>627036</v>
      </c>
      <c r="U85" s="25"/>
      <c r="V85" s="5"/>
    </row>
    <row r="86" spans="1:22" x14ac:dyDescent="0.35">
      <c r="A86" s="24"/>
      <c r="B86" s="25"/>
      <c r="C86" s="34"/>
      <c r="D86" s="34"/>
      <c r="E86" s="34"/>
      <c r="F86" s="34"/>
      <c r="G86" s="34"/>
      <c r="H86" s="34"/>
      <c r="I86" s="34"/>
      <c r="J86" s="34"/>
      <c r="K86" s="34"/>
      <c r="L86" s="34"/>
      <c r="M86" s="34"/>
      <c r="N86" s="34"/>
      <c r="O86" s="34"/>
      <c r="P86" s="34"/>
      <c r="Q86" s="34"/>
      <c r="R86" s="34"/>
      <c r="S86" s="34"/>
      <c r="T86" s="54"/>
      <c r="U86" s="25"/>
      <c r="V86" s="5"/>
    </row>
    <row r="87" spans="1:22" x14ac:dyDescent="0.35">
      <c r="A87" s="6"/>
      <c r="B87" s="8"/>
      <c r="C87" s="8"/>
      <c r="D87" s="8"/>
      <c r="E87" s="8"/>
      <c r="F87" s="8"/>
      <c r="G87" s="8"/>
      <c r="H87" s="8"/>
      <c r="I87" s="8"/>
      <c r="J87" s="8"/>
      <c r="K87" s="8"/>
      <c r="L87" s="8"/>
      <c r="M87" s="8"/>
      <c r="N87" s="8"/>
      <c r="O87" s="8"/>
      <c r="P87" s="8"/>
      <c r="Q87" s="8"/>
      <c r="R87" s="8"/>
      <c r="S87" s="8"/>
      <c r="T87" s="8"/>
      <c r="U87" s="8"/>
      <c r="V87" s="5"/>
    </row>
    <row r="88" spans="1:22" x14ac:dyDescent="0.35">
      <c r="A88" s="6"/>
      <c r="B88" s="51" t="s">
        <v>27</v>
      </c>
      <c r="C88" s="14"/>
      <c r="D88" s="14"/>
      <c r="E88" s="14"/>
      <c r="F88" s="14"/>
      <c r="G88" s="14"/>
      <c r="H88" s="17"/>
      <c r="I88" s="17"/>
      <c r="J88" s="160" t="s">
        <v>99</v>
      </c>
      <c r="K88" s="17"/>
      <c r="L88" s="159">
        <f>+R197</f>
        <v>39507</v>
      </c>
      <c r="M88" s="17"/>
      <c r="N88" s="17"/>
      <c r="O88" s="17"/>
      <c r="P88" s="17"/>
      <c r="Q88" s="17"/>
      <c r="R88" s="17" t="s">
        <v>112</v>
      </c>
      <c r="S88" s="17"/>
      <c r="T88" s="17" t="s">
        <v>120</v>
      </c>
      <c r="U88" s="8"/>
      <c r="V88" s="5"/>
    </row>
    <row r="89" spans="1:22" x14ac:dyDescent="0.35">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x14ac:dyDescent="0.35">
      <c r="A90" s="24"/>
      <c r="B90" s="25" t="s">
        <v>29</v>
      </c>
      <c r="C90" s="25"/>
      <c r="D90" s="25"/>
      <c r="E90" s="25"/>
      <c r="F90" s="25"/>
      <c r="G90" s="25"/>
      <c r="H90" s="40"/>
      <c r="I90" s="57"/>
      <c r="J90" s="40"/>
      <c r="K90" s="25"/>
      <c r="L90" s="127"/>
      <c r="M90" s="25"/>
      <c r="N90" s="25"/>
      <c r="O90" s="25"/>
      <c r="P90" s="25"/>
      <c r="Q90" s="25"/>
      <c r="R90" s="34">
        <f>78427-66</f>
        <v>78361</v>
      </c>
      <c r="S90" s="25"/>
      <c r="T90" s="53"/>
      <c r="U90" s="25"/>
      <c r="V90" s="5"/>
    </row>
    <row r="91" spans="1:22" x14ac:dyDescent="0.35">
      <c r="A91" s="24"/>
      <c r="B91" s="25" t="s">
        <v>259</v>
      </c>
      <c r="C91" s="25"/>
      <c r="D91" s="25"/>
      <c r="E91" s="25"/>
      <c r="F91" s="25"/>
      <c r="G91" s="25"/>
      <c r="H91" s="40"/>
      <c r="I91" s="57"/>
      <c r="J91" s="40"/>
      <c r="K91" s="25"/>
      <c r="L91" s="127"/>
      <c r="M91" s="25"/>
      <c r="N91" s="25"/>
      <c r="O91" s="25"/>
      <c r="P91" s="25"/>
      <c r="Q91" s="25"/>
      <c r="R91" s="34"/>
      <c r="S91" s="25"/>
      <c r="T91" s="53">
        <f>6909+5340-631-1596-96</f>
        <v>9926</v>
      </c>
      <c r="U91" s="25"/>
      <c r="V91" s="5"/>
    </row>
    <row r="92" spans="1:22" x14ac:dyDescent="0.35">
      <c r="A92" s="24"/>
      <c r="B92" s="25" t="s">
        <v>254</v>
      </c>
      <c r="C92" s="25"/>
      <c r="D92" s="25"/>
      <c r="E92" s="25"/>
      <c r="F92" s="25"/>
      <c r="G92" s="25"/>
      <c r="H92" s="40"/>
      <c r="I92" s="57"/>
      <c r="J92" s="40"/>
      <c r="K92" s="25"/>
      <c r="L92" s="127"/>
      <c r="M92" s="25"/>
      <c r="N92" s="25"/>
      <c r="O92" s="25"/>
      <c r="P92" s="25"/>
      <c r="Q92" s="25"/>
      <c r="R92" s="34"/>
      <c r="S92" s="25"/>
      <c r="T92" s="53">
        <f>325+505</f>
        <v>830</v>
      </c>
      <c r="U92" s="25"/>
      <c r="V92" s="5"/>
    </row>
    <row r="93" spans="1:22" x14ac:dyDescent="0.35">
      <c r="A93" s="24"/>
      <c r="B93" s="25" t="s">
        <v>255</v>
      </c>
      <c r="C93" s="25"/>
      <c r="D93" s="25"/>
      <c r="E93" s="25"/>
      <c r="F93" s="25"/>
      <c r="G93" s="25"/>
      <c r="H93" s="40"/>
      <c r="I93" s="57"/>
      <c r="J93" s="40"/>
      <c r="K93" s="25"/>
      <c r="L93" s="127"/>
      <c r="M93" s="25"/>
      <c r="N93" s="25"/>
      <c r="O93" s="25"/>
      <c r="P93" s="25"/>
      <c r="Q93" s="25"/>
      <c r="R93" s="34"/>
      <c r="S93" s="25"/>
      <c r="T93" s="53">
        <v>1432</v>
      </c>
      <c r="U93" s="25"/>
      <c r="V93" s="5"/>
    </row>
    <row r="94" spans="1:22" x14ac:dyDescent="0.35">
      <c r="A94" s="24"/>
      <c r="B94" s="25" t="s">
        <v>273</v>
      </c>
      <c r="C94" s="25"/>
      <c r="D94" s="25"/>
      <c r="E94" s="25"/>
      <c r="F94" s="25"/>
      <c r="G94" s="25"/>
      <c r="H94" s="40"/>
      <c r="I94" s="57"/>
      <c r="J94" s="40"/>
      <c r="K94" s="25"/>
      <c r="L94" s="127"/>
      <c r="M94" s="25"/>
      <c r="N94" s="25"/>
      <c r="O94" s="25"/>
      <c r="P94" s="25"/>
      <c r="Q94" s="25"/>
      <c r="R94" s="34"/>
      <c r="S94" s="25"/>
      <c r="T94" s="53">
        <f>2+1114</f>
        <v>1116</v>
      </c>
      <c r="U94" s="25"/>
      <c r="V94" s="5"/>
    </row>
    <row r="95" spans="1:22" x14ac:dyDescent="0.35">
      <c r="A95" s="24"/>
      <c r="B95" s="25" t="s">
        <v>142</v>
      </c>
      <c r="C95" s="25"/>
      <c r="D95" s="25"/>
      <c r="E95" s="25"/>
      <c r="F95" s="25"/>
      <c r="G95" s="25"/>
      <c r="H95" s="25"/>
      <c r="I95" s="25"/>
      <c r="J95" s="25"/>
      <c r="K95" s="25"/>
      <c r="L95" s="25"/>
      <c r="M95" s="25"/>
      <c r="N95" s="25"/>
      <c r="O95" s="25"/>
      <c r="P95" s="25"/>
      <c r="Q95" s="25"/>
      <c r="R95" s="34"/>
      <c r="S95" s="25"/>
      <c r="T95" s="53">
        <v>0</v>
      </c>
      <c r="U95" s="25"/>
      <c r="V95" s="5"/>
    </row>
    <row r="96" spans="1:22" x14ac:dyDescent="0.35">
      <c r="A96" s="24"/>
      <c r="B96" s="25" t="s">
        <v>234</v>
      </c>
      <c r="C96" s="25"/>
      <c r="D96" s="25"/>
      <c r="E96" s="25"/>
      <c r="F96" s="25"/>
      <c r="G96" s="25"/>
      <c r="H96" s="25"/>
      <c r="I96" s="25"/>
      <c r="J96" s="25"/>
      <c r="K96" s="25"/>
      <c r="L96" s="25"/>
      <c r="M96" s="25"/>
      <c r="N96" s="25"/>
      <c r="O96" s="25"/>
      <c r="P96" s="25"/>
      <c r="Q96" s="25"/>
      <c r="R96" s="34"/>
      <c r="S96" s="25"/>
      <c r="T96" s="53">
        <v>0</v>
      </c>
      <c r="U96" s="25"/>
      <c r="V96" s="5"/>
    </row>
    <row r="97" spans="1:23" x14ac:dyDescent="0.35">
      <c r="A97" s="24"/>
      <c r="B97" s="25" t="s">
        <v>30</v>
      </c>
      <c r="C97" s="25"/>
      <c r="D97" s="25"/>
      <c r="E97" s="25"/>
      <c r="F97" s="25"/>
      <c r="G97" s="25"/>
      <c r="H97" s="25"/>
      <c r="I97" s="25"/>
      <c r="J97" s="25"/>
      <c r="K97" s="25"/>
      <c r="L97" s="25"/>
      <c r="M97" s="25"/>
      <c r="N97" s="25"/>
      <c r="O97" s="25"/>
      <c r="P97" s="25"/>
      <c r="Q97" s="25"/>
      <c r="R97" s="34">
        <f>SUM(R89:R96)</f>
        <v>78361</v>
      </c>
      <c r="S97" s="25"/>
      <c r="T97" s="54">
        <f>SUM(T89:T96)</f>
        <v>13304</v>
      </c>
      <c r="U97" s="25"/>
      <c r="V97" s="5"/>
    </row>
    <row r="98" spans="1:23" x14ac:dyDescent="0.35">
      <c r="A98" s="24"/>
      <c r="B98" s="25" t="s">
        <v>170</v>
      </c>
      <c r="C98" s="25"/>
      <c r="D98" s="25"/>
      <c r="E98" s="25"/>
      <c r="F98" s="25"/>
      <c r="G98" s="25"/>
      <c r="H98" s="25"/>
      <c r="I98" s="25"/>
      <c r="J98" s="25"/>
      <c r="K98" s="25"/>
      <c r="L98" s="25"/>
      <c r="M98" s="25"/>
      <c r="N98" s="25"/>
      <c r="O98" s="25"/>
      <c r="P98" s="25"/>
      <c r="Q98" s="25"/>
      <c r="R98" s="34">
        <f>-T98</f>
        <v>-292</v>
      </c>
      <c r="S98" s="25"/>
      <c r="T98" s="54">
        <v>292</v>
      </c>
      <c r="U98" s="25"/>
      <c r="V98" s="5"/>
    </row>
    <row r="99" spans="1:23" x14ac:dyDescent="0.35">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3" x14ac:dyDescent="0.35">
      <c r="A100" s="24"/>
      <c r="B100" s="25" t="s">
        <v>285</v>
      </c>
      <c r="C100" s="25"/>
      <c r="D100" s="25"/>
      <c r="E100" s="25"/>
      <c r="F100" s="25"/>
      <c r="G100" s="25"/>
      <c r="H100" s="25"/>
      <c r="I100" s="25"/>
      <c r="J100" s="25"/>
      <c r="K100" s="25"/>
      <c r="L100" s="25"/>
      <c r="M100" s="25"/>
      <c r="N100" s="25"/>
      <c r="O100" s="25"/>
      <c r="P100" s="25"/>
      <c r="Q100" s="25"/>
      <c r="R100" s="34"/>
      <c r="S100" s="25"/>
      <c r="T100" s="53">
        <v>-158</v>
      </c>
      <c r="U100" s="25"/>
      <c r="V100" s="5"/>
    </row>
    <row r="101" spans="1:23" x14ac:dyDescent="0.35">
      <c r="A101" s="24"/>
      <c r="B101" s="25" t="s">
        <v>32</v>
      </c>
      <c r="C101" s="25"/>
      <c r="D101" s="25"/>
      <c r="E101" s="25"/>
      <c r="F101" s="25"/>
      <c r="G101" s="25"/>
      <c r="H101" s="25"/>
      <c r="I101" s="25"/>
      <c r="J101" s="25"/>
      <c r="K101" s="25"/>
      <c r="L101" s="25"/>
      <c r="M101" s="25"/>
      <c r="N101" s="25"/>
      <c r="O101" s="25"/>
      <c r="P101" s="25"/>
      <c r="Q101" s="25"/>
      <c r="R101" s="34">
        <f>R97+R99+R98</f>
        <v>78069</v>
      </c>
      <c r="S101" s="25"/>
      <c r="T101" s="54">
        <f>T97+T99+T98+T100</f>
        <v>13438</v>
      </c>
      <c r="U101" s="25"/>
      <c r="V101" s="5"/>
    </row>
    <row r="102" spans="1:23" x14ac:dyDescent="0.35">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3" x14ac:dyDescent="0.35">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3" x14ac:dyDescent="0.35">
      <c r="A104" s="24">
        <f>+A103+1</f>
        <v>2</v>
      </c>
      <c r="B104" s="25" t="s">
        <v>35</v>
      </c>
      <c r="C104" s="25"/>
      <c r="D104" s="25"/>
      <c r="E104" s="25"/>
      <c r="F104" s="25"/>
      <c r="G104" s="25"/>
      <c r="H104" s="25"/>
      <c r="I104" s="25"/>
      <c r="J104" s="25"/>
      <c r="K104" s="25"/>
      <c r="L104" s="25"/>
      <c r="M104" s="25"/>
      <c r="N104" s="25"/>
      <c r="O104" s="25"/>
      <c r="P104" s="25"/>
      <c r="Q104" s="25"/>
      <c r="R104" s="25"/>
      <c r="S104" s="25"/>
      <c r="T104" s="53">
        <v>-2</v>
      </c>
      <c r="U104" s="25"/>
      <c r="V104" s="5"/>
    </row>
    <row r="105" spans="1:23" x14ac:dyDescent="0.35">
      <c r="A105" s="24">
        <f>+A104+1</f>
        <v>3</v>
      </c>
      <c r="B105" s="25" t="s">
        <v>246</v>
      </c>
      <c r="C105" s="25"/>
      <c r="D105" s="25"/>
      <c r="E105" s="25"/>
      <c r="F105" s="25"/>
      <c r="G105" s="25"/>
      <c r="H105" s="25"/>
      <c r="I105" s="25"/>
      <c r="J105" s="25"/>
      <c r="K105" s="25"/>
      <c r="L105" s="25"/>
      <c r="M105" s="25"/>
      <c r="N105" s="25"/>
      <c r="O105" s="25"/>
      <c r="P105" s="25"/>
      <c r="Q105" s="25"/>
      <c r="R105" s="25"/>
      <c r="S105" s="25"/>
      <c r="T105" s="53">
        <f>-263-47-8</f>
        <v>-318</v>
      </c>
      <c r="U105" s="25"/>
      <c r="V105" s="5"/>
    </row>
    <row r="106" spans="1:23" x14ac:dyDescent="0.35">
      <c r="A106" s="24" t="s">
        <v>134</v>
      </c>
      <c r="B106" s="25" t="s">
        <v>123</v>
      </c>
      <c r="C106" s="25"/>
      <c r="D106" s="25"/>
      <c r="E106" s="25"/>
      <c r="F106" s="25"/>
      <c r="G106" s="25"/>
      <c r="H106" s="25"/>
      <c r="I106" s="25"/>
      <c r="J106" s="25"/>
      <c r="K106" s="25"/>
      <c r="L106" s="25"/>
      <c r="M106" s="25"/>
      <c r="N106" s="25"/>
      <c r="O106" s="25"/>
      <c r="P106" s="25"/>
      <c r="Q106" s="25"/>
      <c r="R106" s="25"/>
      <c r="S106" s="25"/>
      <c r="T106" s="53">
        <v>0</v>
      </c>
      <c r="U106" s="25"/>
      <c r="V106" s="5"/>
    </row>
    <row r="107" spans="1:23" x14ac:dyDescent="0.35">
      <c r="A107" s="24" t="s">
        <v>135</v>
      </c>
      <c r="B107" s="25" t="s">
        <v>169</v>
      </c>
      <c r="C107" s="25"/>
      <c r="D107" s="25"/>
      <c r="E107" s="25"/>
      <c r="F107" s="25"/>
      <c r="G107" s="25"/>
      <c r="H107" s="25"/>
      <c r="I107" s="25"/>
      <c r="J107" s="25"/>
      <c r="K107" s="25"/>
      <c r="L107" s="25"/>
      <c r="M107" s="25"/>
      <c r="N107" s="25"/>
      <c r="O107" s="25"/>
      <c r="P107" s="25"/>
      <c r="Q107" s="25"/>
      <c r="R107" s="25"/>
      <c r="S107" s="25"/>
      <c r="T107" s="53">
        <v>-1</v>
      </c>
      <c r="U107" s="25"/>
      <c r="V107" s="5"/>
    </row>
    <row r="108" spans="1:23" x14ac:dyDescent="0.35">
      <c r="A108" s="24" t="s">
        <v>157</v>
      </c>
      <c r="B108" s="25" t="s">
        <v>217</v>
      </c>
      <c r="C108" s="25"/>
      <c r="D108" s="25"/>
      <c r="E108" s="25"/>
      <c r="F108" s="25"/>
      <c r="G108" s="25"/>
      <c r="H108" s="25"/>
      <c r="I108" s="25"/>
      <c r="J108" s="25"/>
      <c r="K108" s="25"/>
      <c r="L108" s="25"/>
      <c r="M108" s="25"/>
      <c r="N108" s="25"/>
      <c r="O108" s="25"/>
      <c r="P108" s="25"/>
      <c r="Q108" s="25"/>
      <c r="R108" s="25"/>
      <c r="S108" s="25"/>
      <c r="T108" s="53">
        <v>-7908</v>
      </c>
      <c r="U108" s="25"/>
      <c r="V108" s="169"/>
      <c r="W108" s="109"/>
    </row>
    <row r="109" spans="1:23" x14ac:dyDescent="0.35">
      <c r="A109" s="24" t="s">
        <v>158</v>
      </c>
      <c r="B109" s="25" t="s">
        <v>213</v>
      </c>
      <c r="C109" s="25"/>
      <c r="D109" s="25"/>
      <c r="E109" s="25"/>
      <c r="F109" s="25"/>
      <c r="G109" s="25"/>
      <c r="H109" s="25"/>
      <c r="I109" s="25"/>
      <c r="J109" s="25"/>
      <c r="K109" s="25"/>
      <c r="L109" s="25"/>
      <c r="M109" s="25"/>
      <c r="N109" s="25"/>
      <c r="O109" s="25"/>
      <c r="P109" s="25"/>
      <c r="Q109" s="25"/>
      <c r="R109" s="25"/>
      <c r="S109" s="25"/>
      <c r="T109" s="53">
        <v>-1726</v>
      </c>
      <c r="U109" s="25"/>
      <c r="V109" s="5"/>
      <c r="W109" s="109"/>
    </row>
    <row r="110" spans="1:23" x14ac:dyDescent="0.35">
      <c r="A110" s="24" t="s">
        <v>247</v>
      </c>
      <c r="B110" s="25" t="s">
        <v>214</v>
      </c>
      <c r="C110" s="25"/>
      <c r="D110" s="25"/>
      <c r="E110" s="25"/>
      <c r="F110" s="25"/>
      <c r="G110" s="25"/>
      <c r="H110" s="25"/>
      <c r="I110" s="25"/>
      <c r="J110" s="25"/>
      <c r="K110" s="25"/>
      <c r="L110" s="25"/>
      <c r="M110" s="25"/>
      <c r="N110" s="25"/>
      <c r="O110" s="25"/>
      <c r="P110" s="25"/>
      <c r="Q110" s="25"/>
      <c r="R110" s="25"/>
      <c r="S110" s="25"/>
      <c r="T110" s="53">
        <v>-221</v>
      </c>
      <c r="U110" s="25"/>
      <c r="V110" s="5"/>
      <c r="W110" s="109"/>
    </row>
    <row r="111" spans="1:23" x14ac:dyDescent="0.35">
      <c r="A111" s="24" t="s">
        <v>248</v>
      </c>
      <c r="B111" s="25" t="s">
        <v>215</v>
      </c>
      <c r="C111" s="25"/>
      <c r="D111" s="25"/>
      <c r="E111" s="25"/>
      <c r="F111" s="25"/>
      <c r="G111" s="25"/>
      <c r="H111" s="25"/>
      <c r="I111" s="25"/>
      <c r="J111" s="25"/>
      <c r="K111" s="25"/>
      <c r="L111" s="25"/>
      <c r="M111" s="25"/>
      <c r="N111" s="25"/>
      <c r="O111" s="25"/>
      <c r="P111" s="25"/>
      <c r="Q111" s="25"/>
      <c r="R111" s="25"/>
      <c r="S111" s="25"/>
      <c r="T111" s="53">
        <v>-518</v>
      </c>
      <c r="U111" s="25"/>
      <c r="V111" s="169"/>
      <c r="W111" s="109"/>
    </row>
    <row r="112" spans="1:23" x14ac:dyDescent="0.35">
      <c r="A112" s="24" t="s">
        <v>249</v>
      </c>
      <c r="B112" s="25" t="s">
        <v>230</v>
      </c>
      <c r="C112" s="25"/>
      <c r="D112" s="25"/>
      <c r="E112" s="25"/>
      <c r="F112" s="25"/>
      <c r="G112" s="25"/>
      <c r="H112" s="25"/>
      <c r="I112" s="25"/>
      <c r="J112" s="25"/>
      <c r="K112" s="25"/>
      <c r="L112" s="25"/>
      <c r="M112" s="25"/>
      <c r="N112" s="25"/>
      <c r="O112" s="25"/>
      <c r="P112" s="25"/>
      <c r="Q112" s="25"/>
      <c r="R112" s="25"/>
      <c r="S112" s="25"/>
      <c r="T112" s="53">
        <v>-326</v>
      </c>
      <c r="U112" s="25"/>
      <c r="V112" s="5"/>
      <c r="W112" s="109"/>
    </row>
    <row r="113" spans="1:23" x14ac:dyDescent="0.35">
      <c r="A113" s="24" t="s">
        <v>250</v>
      </c>
      <c r="B113" s="25" t="s">
        <v>216</v>
      </c>
      <c r="C113" s="25"/>
      <c r="D113" s="25"/>
      <c r="E113" s="25"/>
      <c r="F113" s="25"/>
      <c r="G113" s="25"/>
      <c r="H113" s="25"/>
      <c r="I113" s="25"/>
      <c r="J113" s="25"/>
      <c r="K113" s="25"/>
      <c r="L113" s="25"/>
      <c r="M113" s="25"/>
      <c r="N113" s="25"/>
      <c r="O113" s="25"/>
      <c r="P113" s="25"/>
      <c r="Q113" s="25"/>
      <c r="R113" s="25"/>
      <c r="S113" s="25"/>
      <c r="T113" s="53">
        <v>-896</v>
      </c>
      <c r="U113" s="25"/>
      <c r="V113" s="5"/>
      <c r="W113" s="109"/>
    </row>
    <row r="114" spans="1:23" x14ac:dyDescent="0.35">
      <c r="A114" s="24">
        <v>7</v>
      </c>
      <c r="B114" s="25" t="s">
        <v>36</v>
      </c>
      <c r="C114" s="25"/>
      <c r="D114" s="25"/>
      <c r="E114" s="25"/>
      <c r="F114" s="25"/>
      <c r="G114" s="25"/>
      <c r="H114" s="25"/>
      <c r="I114" s="25"/>
      <c r="J114" s="25"/>
      <c r="K114" s="25"/>
      <c r="L114" s="25"/>
      <c r="M114" s="25"/>
      <c r="N114" s="25"/>
      <c r="O114" s="25"/>
      <c r="P114" s="25"/>
      <c r="Q114" s="25"/>
      <c r="R114" s="25"/>
      <c r="S114" s="25"/>
      <c r="T114" s="53">
        <v>-13</v>
      </c>
      <c r="U114" s="25"/>
      <c r="V114" s="5"/>
    </row>
    <row r="115" spans="1:23" x14ac:dyDescent="0.35">
      <c r="A115" s="24">
        <f t="shared" ref="A115:A120" si="0">+A114+1</f>
        <v>8</v>
      </c>
      <c r="B115" s="25" t="s">
        <v>47</v>
      </c>
      <c r="C115" s="25"/>
      <c r="D115" s="25"/>
      <c r="E115" s="25"/>
      <c r="F115" s="25"/>
      <c r="G115" s="25"/>
      <c r="H115" s="25"/>
      <c r="I115" s="25"/>
      <c r="J115" s="25"/>
      <c r="K115" s="25"/>
      <c r="L115" s="25"/>
      <c r="M115" s="25"/>
      <c r="N115" s="25"/>
      <c r="O115" s="25"/>
      <c r="P115" s="25"/>
      <c r="Q115" s="25"/>
      <c r="R115" s="34">
        <f>-T115</f>
        <v>66</v>
      </c>
      <c r="S115" s="25"/>
      <c r="T115" s="53">
        <v>-66</v>
      </c>
      <c r="U115" s="25"/>
      <c r="V115" s="5"/>
    </row>
    <row r="116" spans="1:23" x14ac:dyDescent="0.35">
      <c r="A116" s="24">
        <f t="shared" si="0"/>
        <v>9</v>
      </c>
      <c r="B116" s="25" t="s">
        <v>132</v>
      </c>
      <c r="C116" s="25"/>
      <c r="D116" s="25"/>
      <c r="E116" s="25"/>
      <c r="F116" s="25"/>
      <c r="G116" s="25"/>
      <c r="H116" s="25"/>
      <c r="I116" s="25"/>
      <c r="J116" s="25"/>
      <c r="K116" s="25"/>
      <c r="L116" s="25"/>
      <c r="M116" s="25"/>
      <c r="N116" s="25"/>
      <c r="O116" s="25"/>
      <c r="P116" s="25"/>
      <c r="Q116" s="25"/>
      <c r="R116" s="25"/>
      <c r="S116" s="25"/>
      <c r="T116" s="53">
        <v>0</v>
      </c>
      <c r="U116" s="25"/>
      <c r="V116" s="5"/>
    </row>
    <row r="117" spans="1:23" x14ac:dyDescent="0.35">
      <c r="A117" s="24">
        <f t="shared" si="0"/>
        <v>10</v>
      </c>
      <c r="B117" s="25" t="s">
        <v>37</v>
      </c>
      <c r="C117" s="25"/>
      <c r="D117" s="25"/>
      <c r="E117" s="25"/>
      <c r="F117" s="25"/>
      <c r="G117" s="25"/>
      <c r="H117" s="25"/>
      <c r="I117" s="25"/>
      <c r="J117" s="25"/>
      <c r="K117" s="25"/>
      <c r="L117" s="25"/>
      <c r="M117" s="25"/>
      <c r="N117" s="25"/>
      <c r="O117" s="25"/>
      <c r="P117" s="25"/>
      <c r="Q117" s="25"/>
      <c r="R117" s="25"/>
      <c r="S117" s="25"/>
      <c r="T117" s="53">
        <v>0</v>
      </c>
      <c r="U117" s="25"/>
      <c r="V117" s="5"/>
    </row>
    <row r="118" spans="1:23" x14ac:dyDescent="0.35">
      <c r="A118" s="24">
        <f t="shared" si="0"/>
        <v>11</v>
      </c>
      <c r="B118" s="25" t="s">
        <v>38</v>
      </c>
      <c r="C118" s="25"/>
      <c r="D118" s="25"/>
      <c r="E118" s="25"/>
      <c r="F118" s="25"/>
      <c r="G118" s="25"/>
      <c r="H118" s="25"/>
      <c r="I118" s="25"/>
      <c r="J118" s="25"/>
      <c r="K118" s="25"/>
      <c r="L118" s="25"/>
      <c r="M118" s="25"/>
      <c r="N118" s="25"/>
      <c r="O118" s="25"/>
      <c r="P118" s="25"/>
      <c r="Q118" s="25"/>
      <c r="R118" s="25"/>
      <c r="S118" s="25"/>
      <c r="T118" s="53">
        <v>0</v>
      </c>
      <c r="U118" s="25"/>
      <c r="V118" s="5"/>
    </row>
    <row r="119" spans="1:23" x14ac:dyDescent="0.35">
      <c r="A119" s="24">
        <f t="shared" si="0"/>
        <v>12</v>
      </c>
      <c r="B119" s="25" t="s">
        <v>156</v>
      </c>
      <c r="C119" s="25"/>
      <c r="D119" s="25"/>
      <c r="E119" s="25"/>
      <c r="F119" s="25"/>
      <c r="G119" s="25"/>
      <c r="H119" s="25"/>
      <c r="I119" s="25"/>
      <c r="J119" s="25"/>
      <c r="K119" s="25"/>
      <c r="L119" s="25"/>
      <c r="M119" s="25"/>
      <c r="N119" s="25"/>
      <c r="O119" s="25"/>
      <c r="P119" s="25"/>
      <c r="Q119" s="25"/>
      <c r="R119" s="25"/>
      <c r="S119" s="25"/>
      <c r="T119" s="53">
        <v>-263</v>
      </c>
      <c r="U119" s="25"/>
      <c r="V119" s="5"/>
    </row>
    <row r="120" spans="1:23" x14ac:dyDescent="0.35">
      <c r="A120" s="24">
        <f t="shared" si="0"/>
        <v>13</v>
      </c>
      <c r="B120" s="25" t="s">
        <v>133</v>
      </c>
      <c r="C120" s="25"/>
      <c r="D120" s="25"/>
      <c r="E120" s="25"/>
      <c r="F120" s="25"/>
      <c r="G120" s="25"/>
      <c r="H120" s="25"/>
      <c r="I120" s="25"/>
      <c r="J120" s="25"/>
      <c r="K120" s="25"/>
      <c r="L120" s="25"/>
      <c r="M120" s="25"/>
      <c r="N120" s="25"/>
      <c r="O120" s="25"/>
      <c r="P120" s="25"/>
      <c r="Q120" s="25"/>
      <c r="R120" s="25"/>
      <c r="S120" s="25"/>
      <c r="T120" s="53">
        <f>-T101-SUM(T103:T119)</f>
        <v>-1180</v>
      </c>
      <c r="U120" s="25"/>
      <c r="V120" s="5"/>
    </row>
    <row r="121" spans="1:23" x14ac:dyDescent="0.35">
      <c r="A121" s="24"/>
      <c r="B121" s="118" t="s">
        <v>39</v>
      </c>
      <c r="C121" s="25"/>
      <c r="D121" s="25"/>
      <c r="E121" s="25"/>
      <c r="F121" s="25"/>
      <c r="G121" s="25"/>
      <c r="H121" s="25"/>
      <c r="I121" s="25"/>
      <c r="J121" s="25"/>
      <c r="K121" s="25"/>
      <c r="L121" s="25"/>
      <c r="M121" s="25"/>
      <c r="N121" s="25"/>
      <c r="O121" s="25"/>
      <c r="P121" s="25"/>
      <c r="Q121" s="25"/>
      <c r="R121" s="25"/>
      <c r="S121" s="25"/>
      <c r="T121" s="59"/>
      <c r="U121" s="25"/>
      <c r="V121" s="5"/>
    </row>
    <row r="122" spans="1:23" x14ac:dyDescent="0.35">
      <c r="A122" s="24"/>
      <c r="B122" s="25" t="s">
        <v>184</v>
      </c>
      <c r="C122" s="25"/>
      <c r="D122" s="25"/>
      <c r="E122" s="25"/>
      <c r="F122" s="25"/>
      <c r="G122" s="25"/>
      <c r="H122" s="25"/>
      <c r="I122" s="25"/>
      <c r="J122" s="25"/>
      <c r="K122" s="25"/>
      <c r="L122" s="25"/>
      <c r="M122" s="25"/>
      <c r="N122" s="25"/>
      <c r="O122" s="25"/>
      <c r="P122" s="25"/>
      <c r="Q122" s="25"/>
      <c r="R122" s="34">
        <f>-R181</f>
        <v>-13</v>
      </c>
      <c r="S122" s="34"/>
      <c r="T122" s="53"/>
      <c r="U122" s="25"/>
      <c r="V122" s="5"/>
    </row>
    <row r="123" spans="1:23" x14ac:dyDescent="0.35">
      <c r="A123" s="24"/>
      <c r="B123" s="25" t="s">
        <v>185</v>
      </c>
      <c r="C123" s="25"/>
      <c r="D123" s="25"/>
      <c r="E123" s="25"/>
      <c r="F123" s="25"/>
      <c r="G123" s="25"/>
      <c r="H123" s="25"/>
      <c r="I123" s="25"/>
      <c r="J123" s="25"/>
      <c r="K123" s="25"/>
      <c r="L123" s="25"/>
      <c r="M123" s="25"/>
      <c r="N123" s="25"/>
      <c r="O123" s="25"/>
      <c r="P123" s="25"/>
      <c r="Q123" s="25"/>
      <c r="R123" s="34">
        <v>-50</v>
      </c>
      <c r="S123" s="34"/>
      <c r="T123" s="53"/>
      <c r="U123" s="25"/>
      <c r="V123" s="5"/>
    </row>
    <row r="124" spans="1:23" x14ac:dyDescent="0.35">
      <c r="A124" s="24"/>
      <c r="B124" s="25" t="s">
        <v>40</v>
      </c>
      <c r="C124" s="25"/>
      <c r="D124" s="25"/>
      <c r="E124" s="25"/>
      <c r="F124" s="25"/>
      <c r="G124" s="25"/>
      <c r="H124" s="25"/>
      <c r="I124" s="25"/>
      <c r="J124" s="25"/>
      <c r="K124" s="25"/>
      <c r="L124" s="25"/>
      <c r="M124" s="25"/>
      <c r="N124" s="25"/>
      <c r="O124" s="25"/>
      <c r="P124" s="25"/>
      <c r="Q124" s="25"/>
      <c r="R124" s="34">
        <f>-Q181</f>
        <v>-2835</v>
      </c>
      <c r="S124" s="34"/>
      <c r="T124" s="53"/>
      <c r="U124" s="25"/>
      <c r="V124" s="5"/>
    </row>
    <row r="125" spans="1:23" x14ac:dyDescent="0.35">
      <c r="A125" s="24"/>
      <c r="B125" s="25" t="s">
        <v>231</v>
      </c>
      <c r="C125" s="25"/>
      <c r="D125" s="25"/>
      <c r="E125" s="25"/>
      <c r="F125" s="25"/>
      <c r="G125" s="25"/>
      <c r="H125" s="25"/>
      <c r="I125" s="25"/>
      <c r="J125" s="25"/>
      <c r="K125" s="25"/>
      <c r="L125" s="25"/>
      <c r="M125" s="25"/>
      <c r="N125" s="25"/>
      <c r="O125" s="25"/>
      <c r="P125" s="25"/>
      <c r="Q125" s="25"/>
      <c r="R125" s="34">
        <v>-75237</v>
      </c>
      <c r="S125" s="34"/>
      <c r="T125" s="53"/>
      <c r="U125" s="25"/>
      <c r="V125" s="5"/>
    </row>
    <row r="126" spans="1:23" x14ac:dyDescent="0.35">
      <c r="A126" s="24"/>
      <c r="B126" s="25" t="s">
        <v>229</v>
      </c>
      <c r="C126" s="25"/>
      <c r="D126" s="25"/>
      <c r="E126" s="25"/>
      <c r="F126" s="25"/>
      <c r="G126" s="25"/>
      <c r="H126" s="25"/>
      <c r="I126" s="25"/>
      <c r="J126" s="25"/>
      <c r="K126" s="25"/>
      <c r="L126" s="25"/>
      <c r="M126" s="25"/>
      <c r="N126" s="25"/>
      <c r="O126" s="25"/>
      <c r="P126" s="25"/>
      <c r="Q126" s="25"/>
      <c r="R126" s="34">
        <v>0</v>
      </c>
      <c r="S126" s="34"/>
      <c r="T126" s="53"/>
      <c r="U126" s="25"/>
      <c r="V126" s="5"/>
    </row>
    <row r="127" spans="1:23" x14ac:dyDescent="0.35">
      <c r="A127" s="24"/>
      <c r="B127" s="25" t="s">
        <v>228</v>
      </c>
      <c r="C127" s="25"/>
      <c r="D127" s="25"/>
      <c r="E127" s="25"/>
      <c r="F127" s="25"/>
      <c r="G127" s="25"/>
      <c r="H127" s="25"/>
      <c r="I127" s="25"/>
      <c r="J127" s="25"/>
      <c r="K127" s="25"/>
      <c r="L127" s="25"/>
      <c r="M127" s="25"/>
      <c r="N127" s="25"/>
      <c r="O127" s="25"/>
      <c r="P127" s="25"/>
      <c r="Q127" s="25"/>
      <c r="R127" s="34">
        <v>0</v>
      </c>
      <c r="S127" s="34"/>
      <c r="T127" s="53"/>
      <c r="U127" s="25"/>
      <c r="V127" s="5"/>
    </row>
    <row r="128" spans="1:23" x14ac:dyDescent="0.35">
      <c r="A128" s="24"/>
      <c r="B128" s="25" t="s">
        <v>221</v>
      </c>
      <c r="C128" s="25"/>
      <c r="D128" s="25"/>
      <c r="E128" s="25"/>
      <c r="F128" s="25"/>
      <c r="G128" s="25"/>
      <c r="H128" s="25"/>
      <c r="I128" s="25"/>
      <c r="J128" s="25"/>
      <c r="K128" s="25"/>
      <c r="L128" s="25"/>
      <c r="M128" s="25"/>
      <c r="N128" s="25"/>
      <c r="O128" s="25"/>
      <c r="P128" s="25"/>
      <c r="Q128" s="25"/>
      <c r="R128" s="34">
        <v>0</v>
      </c>
      <c r="S128" s="34"/>
      <c r="T128" s="53"/>
      <c r="U128" s="25"/>
      <c r="V128" s="5"/>
    </row>
    <row r="129" spans="1:22" x14ac:dyDescent="0.35">
      <c r="A129" s="24"/>
      <c r="B129" s="25" t="s">
        <v>220</v>
      </c>
      <c r="C129" s="25"/>
      <c r="D129" s="25"/>
      <c r="E129" s="25"/>
      <c r="F129" s="25"/>
      <c r="G129" s="25"/>
      <c r="H129" s="25"/>
      <c r="I129" s="25"/>
      <c r="J129" s="25"/>
      <c r="K129" s="25"/>
      <c r="L129" s="25"/>
      <c r="M129" s="25"/>
      <c r="N129" s="25"/>
      <c r="O129" s="25"/>
      <c r="P129" s="25"/>
      <c r="Q129" s="25"/>
      <c r="R129" s="34">
        <v>0</v>
      </c>
      <c r="S129" s="34"/>
      <c r="T129" s="53"/>
      <c r="U129" s="25"/>
      <c r="V129" s="5"/>
    </row>
    <row r="130" spans="1:22" x14ac:dyDescent="0.35">
      <c r="A130" s="24"/>
      <c r="B130" s="25" t="s">
        <v>219</v>
      </c>
      <c r="C130" s="25"/>
      <c r="D130" s="25"/>
      <c r="E130" s="25"/>
      <c r="F130" s="25"/>
      <c r="G130" s="25"/>
      <c r="H130" s="25"/>
      <c r="I130" s="25"/>
      <c r="J130" s="25"/>
      <c r="K130" s="25"/>
      <c r="L130" s="25"/>
      <c r="M130" s="25"/>
      <c r="N130" s="25"/>
      <c r="O130" s="25"/>
      <c r="P130" s="25"/>
      <c r="Q130" s="25"/>
      <c r="R130" s="34">
        <v>0</v>
      </c>
      <c r="S130" s="34"/>
      <c r="T130" s="53"/>
      <c r="U130" s="25"/>
      <c r="V130" s="5"/>
    </row>
    <row r="131" spans="1:22" x14ac:dyDescent="0.35">
      <c r="A131" s="24"/>
      <c r="B131" s="25" t="s">
        <v>218</v>
      </c>
      <c r="C131" s="25"/>
      <c r="D131" s="25"/>
      <c r="E131" s="25"/>
      <c r="F131" s="25"/>
      <c r="G131" s="25"/>
      <c r="H131" s="25"/>
      <c r="I131" s="25"/>
      <c r="J131" s="25"/>
      <c r="K131" s="25"/>
      <c r="L131" s="25"/>
      <c r="M131" s="25"/>
      <c r="N131" s="25"/>
      <c r="O131" s="25"/>
      <c r="P131" s="25"/>
      <c r="Q131" s="25"/>
      <c r="R131" s="34">
        <v>0</v>
      </c>
      <c r="S131" s="34"/>
      <c r="T131" s="53"/>
      <c r="U131" s="25"/>
      <c r="V131" s="5"/>
    </row>
    <row r="132" spans="1:22" x14ac:dyDescent="0.35">
      <c r="A132" s="24"/>
      <c r="B132" s="25" t="s">
        <v>41</v>
      </c>
      <c r="C132" s="25"/>
      <c r="D132" s="25"/>
      <c r="E132" s="25"/>
      <c r="F132" s="25"/>
      <c r="G132" s="25"/>
      <c r="H132" s="25"/>
      <c r="I132" s="25"/>
      <c r="J132" s="25"/>
      <c r="K132" s="25"/>
      <c r="L132" s="25"/>
      <c r="M132" s="25"/>
      <c r="N132" s="25"/>
      <c r="O132" s="25"/>
      <c r="P132" s="25"/>
      <c r="Q132" s="25"/>
      <c r="R132" s="34">
        <f>SUM(R122:R131)</f>
        <v>-78135</v>
      </c>
      <c r="S132" s="34"/>
      <c r="T132" s="34">
        <f>SUM(T102:T130)</f>
        <v>-13438</v>
      </c>
      <c r="U132" s="25"/>
      <c r="V132" s="5"/>
    </row>
    <row r="133" spans="1:22" x14ac:dyDescent="0.35">
      <c r="A133" s="24"/>
      <c r="B133" s="25" t="s">
        <v>42</v>
      </c>
      <c r="C133" s="25"/>
      <c r="D133" s="25"/>
      <c r="E133" s="25"/>
      <c r="F133" s="25"/>
      <c r="G133" s="25"/>
      <c r="H133" s="25"/>
      <c r="I133" s="25"/>
      <c r="J133" s="25"/>
      <c r="K133" s="25"/>
      <c r="L133" s="25"/>
      <c r="M133" s="25"/>
      <c r="N133" s="25"/>
      <c r="O133" s="25"/>
      <c r="P133" s="25"/>
      <c r="Q133" s="25"/>
      <c r="R133" s="34">
        <f>R101+R132+R115</f>
        <v>0</v>
      </c>
      <c r="S133" s="34"/>
      <c r="T133" s="34">
        <f>T101+T132</f>
        <v>0</v>
      </c>
      <c r="U133" s="25"/>
      <c r="V133" s="5"/>
    </row>
    <row r="134" spans="1:22" x14ac:dyDescent="0.35">
      <c r="A134" s="24"/>
      <c r="B134" s="25"/>
      <c r="C134" s="25"/>
      <c r="D134" s="25"/>
      <c r="E134" s="25"/>
      <c r="F134" s="25"/>
      <c r="G134" s="25"/>
      <c r="H134" s="25"/>
      <c r="I134" s="25"/>
      <c r="J134" s="25"/>
      <c r="K134" s="25"/>
      <c r="L134" s="25"/>
      <c r="M134" s="25"/>
      <c r="N134" s="25"/>
      <c r="O134" s="25"/>
      <c r="P134" s="25"/>
      <c r="Q134" s="25"/>
      <c r="R134" s="34"/>
      <c r="S134" s="34"/>
      <c r="T134" s="34"/>
      <c r="U134" s="25"/>
      <c r="V134" s="5"/>
    </row>
    <row r="135" spans="1:22" x14ac:dyDescent="0.35">
      <c r="A135" s="6"/>
      <c r="B135" s="8"/>
      <c r="C135" s="8"/>
      <c r="D135" s="8"/>
      <c r="E135" s="8"/>
      <c r="F135" s="8"/>
      <c r="G135" s="8"/>
      <c r="H135" s="8"/>
      <c r="I135" s="8"/>
      <c r="J135" s="8"/>
      <c r="K135" s="8"/>
      <c r="L135" s="8"/>
      <c r="M135" s="8"/>
      <c r="N135" s="8"/>
      <c r="O135" s="8"/>
      <c r="P135" s="8"/>
      <c r="Q135" s="8"/>
      <c r="R135" s="8"/>
      <c r="S135" s="8"/>
      <c r="T135" s="52"/>
      <c r="U135" s="8"/>
      <c r="V135" s="5"/>
    </row>
    <row r="136" spans="1:22" ht="18" thickBot="1" x14ac:dyDescent="0.4">
      <c r="A136" s="101"/>
      <c r="B136" s="102" t="str">
        <f>B64</f>
        <v>PM10 INVESTOR REPORT QUARTER ENDING FEBRUARY 2008</v>
      </c>
      <c r="C136" s="103"/>
      <c r="D136" s="103"/>
      <c r="E136" s="103"/>
      <c r="F136" s="103"/>
      <c r="G136" s="103"/>
      <c r="H136" s="103"/>
      <c r="I136" s="103"/>
      <c r="J136" s="103"/>
      <c r="K136" s="103"/>
      <c r="L136" s="103"/>
      <c r="M136" s="103"/>
      <c r="N136" s="103"/>
      <c r="O136" s="103"/>
      <c r="P136" s="103"/>
      <c r="Q136" s="103"/>
      <c r="R136" s="103"/>
      <c r="S136" s="103"/>
      <c r="T136" s="106"/>
      <c r="U136" s="105"/>
      <c r="V136" s="5"/>
    </row>
    <row r="137" spans="1:22" x14ac:dyDescent="0.35">
      <c r="A137" s="2"/>
      <c r="B137" s="60" t="s">
        <v>43</v>
      </c>
      <c r="C137" s="4"/>
      <c r="D137" s="4"/>
      <c r="E137" s="4"/>
      <c r="F137" s="4"/>
      <c r="G137" s="4"/>
      <c r="H137" s="4"/>
      <c r="I137" s="4"/>
      <c r="J137" s="4"/>
      <c r="K137" s="4"/>
      <c r="L137" s="4"/>
      <c r="M137" s="4"/>
      <c r="N137" s="4"/>
      <c r="O137" s="4"/>
      <c r="P137" s="4"/>
      <c r="Q137" s="4"/>
      <c r="R137" s="4"/>
      <c r="S137" s="4"/>
      <c r="T137" s="50"/>
      <c r="U137" s="4"/>
      <c r="V137" s="5"/>
    </row>
    <row r="138" spans="1:22" x14ac:dyDescent="0.35">
      <c r="A138" s="6"/>
      <c r="B138" s="21"/>
      <c r="C138" s="8"/>
      <c r="D138" s="8"/>
      <c r="E138" s="8"/>
      <c r="F138" s="8"/>
      <c r="G138" s="8"/>
      <c r="H138" s="8"/>
      <c r="I138" s="8"/>
      <c r="J138" s="8"/>
      <c r="K138" s="8"/>
      <c r="L138" s="8"/>
      <c r="M138" s="8"/>
      <c r="N138" s="8"/>
      <c r="O138" s="8"/>
      <c r="P138" s="8"/>
      <c r="Q138" s="8"/>
      <c r="R138" s="8"/>
      <c r="S138" s="8"/>
      <c r="T138" s="52"/>
      <c r="U138" s="8"/>
      <c r="V138" s="5"/>
    </row>
    <row r="139" spans="1:22" x14ac:dyDescent="0.35">
      <c r="A139" s="6"/>
      <c r="B139" s="119" t="s">
        <v>44</v>
      </c>
      <c r="C139" s="8"/>
      <c r="D139" s="8"/>
      <c r="E139" s="8"/>
      <c r="F139" s="8"/>
      <c r="G139" s="8"/>
      <c r="H139" s="8"/>
      <c r="I139" s="8"/>
      <c r="J139" s="8"/>
      <c r="K139" s="8"/>
      <c r="L139" s="8"/>
      <c r="M139" s="8"/>
      <c r="N139" s="8"/>
      <c r="O139" s="8"/>
      <c r="P139" s="8"/>
      <c r="Q139" s="8"/>
      <c r="R139" s="8"/>
      <c r="S139" s="8"/>
      <c r="T139" s="52"/>
      <c r="U139" s="8"/>
      <c r="V139" s="5"/>
    </row>
    <row r="140" spans="1:22" x14ac:dyDescent="0.35">
      <c r="A140" s="24"/>
      <c r="B140" s="25" t="s">
        <v>45</v>
      </c>
      <c r="C140" s="25"/>
      <c r="D140" s="25"/>
      <c r="E140" s="25"/>
      <c r="F140" s="25"/>
      <c r="G140" s="25"/>
      <c r="H140" s="25"/>
      <c r="I140" s="25"/>
      <c r="J140" s="25"/>
      <c r="K140" s="25"/>
      <c r="L140" s="25"/>
      <c r="M140" s="25"/>
      <c r="N140" s="25"/>
      <c r="O140" s="25"/>
      <c r="P140" s="25"/>
      <c r="Q140" s="25"/>
      <c r="R140" s="25"/>
      <c r="S140" s="25"/>
      <c r="T140" s="53">
        <f>+T34*0.0186</f>
        <v>18606.565799999997</v>
      </c>
      <c r="U140" s="25"/>
      <c r="V140" s="5"/>
    </row>
    <row r="141" spans="1:22" x14ac:dyDescent="0.35">
      <c r="A141" s="24"/>
      <c r="B141" s="25" t="s">
        <v>46</v>
      </c>
      <c r="C141" s="25"/>
      <c r="D141" s="25"/>
      <c r="E141" s="25"/>
      <c r="F141" s="25"/>
      <c r="G141" s="25"/>
      <c r="H141" s="25"/>
      <c r="I141" s="25"/>
      <c r="J141" s="25"/>
      <c r="K141" s="25"/>
      <c r="L141" s="25"/>
      <c r="M141" s="25"/>
      <c r="N141" s="25"/>
      <c r="O141" s="25"/>
      <c r="P141" s="25"/>
      <c r="Q141" s="25"/>
      <c r="R141" s="25"/>
      <c r="S141" s="25"/>
      <c r="T141" s="53">
        <v>18607</v>
      </c>
      <c r="U141" s="25"/>
      <c r="V141" s="5"/>
    </row>
    <row r="142" spans="1:22" x14ac:dyDescent="0.35">
      <c r="A142" s="24"/>
      <c r="B142" s="25" t="s">
        <v>143</v>
      </c>
      <c r="C142" s="25"/>
      <c r="D142" s="25"/>
      <c r="E142" s="25"/>
      <c r="F142" s="25"/>
      <c r="G142" s="25"/>
      <c r="H142" s="25"/>
      <c r="I142" s="25"/>
      <c r="J142" s="25"/>
      <c r="K142" s="25"/>
      <c r="L142" s="25"/>
      <c r="M142" s="25"/>
      <c r="N142" s="25"/>
      <c r="O142" s="25"/>
      <c r="P142" s="25"/>
      <c r="Q142" s="25"/>
      <c r="R142" s="25"/>
      <c r="S142" s="25"/>
      <c r="T142" s="53">
        <v>0</v>
      </c>
      <c r="U142" s="25"/>
      <c r="V142" s="5"/>
    </row>
    <row r="143" spans="1:22" x14ac:dyDescent="0.35">
      <c r="A143" s="24"/>
      <c r="B143" s="25" t="s">
        <v>130</v>
      </c>
      <c r="C143" s="25"/>
      <c r="D143" s="25"/>
      <c r="E143" s="25"/>
      <c r="F143" s="25"/>
      <c r="G143" s="25"/>
      <c r="H143" s="25"/>
      <c r="I143" s="25"/>
      <c r="J143" s="25"/>
      <c r="K143" s="25"/>
      <c r="L143" s="25"/>
      <c r="M143" s="25"/>
      <c r="N143" s="25"/>
      <c r="O143" s="25"/>
      <c r="P143" s="25"/>
      <c r="Q143" s="25"/>
      <c r="R143" s="25"/>
      <c r="S143" s="25"/>
      <c r="T143" s="53">
        <v>0</v>
      </c>
      <c r="U143" s="25"/>
      <c r="V143" s="5"/>
    </row>
    <row r="144" spans="1:22" x14ac:dyDescent="0.35">
      <c r="A144" s="24"/>
      <c r="B144" s="25" t="s">
        <v>131</v>
      </c>
      <c r="C144" s="25"/>
      <c r="D144" s="25"/>
      <c r="E144" s="25"/>
      <c r="F144" s="25"/>
      <c r="G144" s="25"/>
      <c r="H144" s="25"/>
      <c r="I144" s="25"/>
      <c r="J144" s="25"/>
      <c r="K144" s="25"/>
      <c r="L144" s="25"/>
      <c r="M144" s="25"/>
      <c r="N144" s="25"/>
      <c r="O144" s="25"/>
      <c r="P144" s="25"/>
      <c r="Q144" s="25"/>
      <c r="R144" s="25"/>
      <c r="S144" s="25"/>
      <c r="T144" s="53">
        <v>0</v>
      </c>
      <c r="U144" s="25"/>
      <c r="V144" s="5"/>
    </row>
    <row r="145" spans="1:23" x14ac:dyDescent="0.35">
      <c r="A145" s="24"/>
      <c r="B145" s="25" t="s">
        <v>186</v>
      </c>
      <c r="C145" s="25"/>
      <c r="D145" s="25"/>
      <c r="E145" s="25"/>
      <c r="F145" s="25"/>
      <c r="G145" s="25"/>
      <c r="H145" s="25"/>
      <c r="I145" s="25"/>
      <c r="J145" s="25"/>
      <c r="K145" s="25"/>
      <c r="L145" s="25"/>
      <c r="M145" s="25"/>
      <c r="N145" s="25"/>
      <c r="O145" s="25"/>
      <c r="P145" s="25"/>
      <c r="Q145" s="25"/>
      <c r="R145" s="25"/>
      <c r="S145" s="25"/>
      <c r="T145" s="53">
        <v>0</v>
      </c>
      <c r="U145" s="25"/>
      <c r="V145" s="5"/>
    </row>
    <row r="146" spans="1:23" x14ac:dyDescent="0.35">
      <c r="A146" s="24"/>
      <c r="B146" s="25" t="s">
        <v>47</v>
      </c>
      <c r="C146" s="25"/>
      <c r="D146" s="25"/>
      <c r="E146" s="25"/>
      <c r="F146" s="25"/>
      <c r="G146" s="25"/>
      <c r="H146" s="25"/>
      <c r="I146" s="25"/>
      <c r="J146" s="25"/>
      <c r="K146" s="25"/>
      <c r="L146" s="25"/>
      <c r="M146" s="25"/>
      <c r="N146" s="25"/>
      <c r="O146" s="25"/>
      <c r="P146" s="25"/>
      <c r="Q146" s="25"/>
      <c r="R146" s="25"/>
      <c r="S146" s="25"/>
      <c r="T146" s="53">
        <v>0</v>
      </c>
      <c r="U146" s="25"/>
      <c r="V146" s="5"/>
    </row>
    <row r="147" spans="1:23" x14ac:dyDescent="0.35">
      <c r="A147" s="24"/>
      <c r="B147" s="25" t="s">
        <v>136</v>
      </c>
      <c r="C147" s="25"/>
      <c r="D147" s="25"/>
      <c r="E147" s="25"/>
      <c r="F147" s="25"/>
      <c r="G147" s="25"/>
      <c r="H147" s="25"/>
      <c r="I147" s="25"/>
      <c r="J147" s="25"/>
      <c r="K147" s="25"/>
      <c r="L147" s="25"/>
      <c r="M147" s="25"/>
      <c r="N147" s="25"/>
      <c r="O147" s="25"/>
      <c r="P147" s="25"/>
      <c r="Q147" s="25"/>
      <c r="R147" s="25"/>
      <c r="S147" s="25"/>
      <c r="T147" s="53">
        <v>0</v>
      </c>
      <c r="U147" s="25"/>
      <c r="V147" s="5"/>
    </row>
    <row r="148" spans="1:23" x14ac:dyDescent="0.35">
      <c r="A148" s="24"/>
      <c r="B148" s="25" t="s">
        <v>222</v>
      </c>
      <c r="C148" s="25"/>
      <c r="D148" s="25"/>
      <c r="E148" s="25"/>
      <c r="F148" s="25"/>
      <c r="G148" s="25"/>
      <c r="H148" s="25"/>
      <c r="I148" s="25"/>
      <c r="J148" s="25"/>
      <c r="K148" s="25"/>
      <c r="L148" s="25"/>
      <c r="M148" s="25"/>
      <c r="N148" s="25"/>
      <c r="O148" s="25"/>
      <c r="P148" s="25"/>
      <c r="Q148" s="25"/>
      <c r="R148" s="25"/>
      <c r="S148" s="25"/>
      <c r="T148" s="53">
        <v>0</v>
      </c>
      <c r="U148" s="25"/>
      <c r="V148" s="5"/>
      <c r="W148" s="109"/>
    </row>
    <row r="149" spans="1:23" x14ac:dyDescent="0.35">
      <c r="A149" s="24"/>
      <c r="B149" s="25" t="s">
        <v>48</v>
      </c>
      <c r="C149" s="25"/>
      <c r="D149" s="25"/>
      <c r="E149" s="25"/>
      <c r="F149" s="25"/>
      <c r="G149" s="25"/>
      <c r="H149" s="25"/>
      <c r="I149" s="25"/>
      <c r="J149" s="25"/>
      <c r="K149" s="25"/>
      <c r="L149" s="25"/>
      <c r="M149" s="25"/>
      <c r="N149" s="25"/>
      <c r="O149" s="25"/>
      <c r="P149" s="25"/>
      <c r="Q149" s="25"/>
      <c r="R149" s="25"/>
      <c r="S149" s="25"/>
      <c r="T149" s="53">
        <f>SUM(T141:T148)</f>
        <v>18607</v>
      </c>
      <c r="U149" s="25"/>
      <c r="V149" s="5"/>
    </row>
    <row r="150" spans="1:23" x14ac:dyDescent="0.35">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3" x14ac:dyDescent="0.35">
      <c r="A151" s="24"/>
      <c r="B151" s="139" t="s">
        <v>266</v>
      </c>
      <c r="C151" s="25"/>
      <c r="D151" s="25"/>
      <c r="E151" s="25"/>
      <c r="F151" s="25"/>
      <c r="G151" s="25"/>
      <c r="H151" s="25"/>
      <c r="I151" s="25"/>
      <c r="J151" s="25"/>
      <c r="K151" s="25"/>
      <c r="L151" s="25"/>
      <c r="M151" s="25"/>
      <c r="N151" s="25"/>
      <c r="O151" s="25"/>
      <c r="P151" s="25"/>
      <c r="Q151" s="25"/>
      <c r="R151" s="25"/>
      <c r="S151" s="25"/>
      <c r="T151" s="53"/>
      <c r="U151" s="25"/>
      <c r="V151" s="5"/>
    </row>
    <row r="152" spans="1:23" x14ac:dyDescent="0.35">
      <c r="A152" s="24"/>
      <c r="B152" s="25" t="s">
        <v>163</v>
      </c>
      <c r="C152" s="25"/>
      <c r="D152" s="25"/>
      <c r="E152" s="25"/>
      <c r="F152" s="25"/>
      <c r="G152" s="25"/>
      <c r="H152" s="25"/>
      <c r="I152" s="25"/>
      <c r="J152" s="25"/>
      <c r="K152" s="25"/>
      <c r="L152" s="25"/>
      <c r="M152" s="25"/>
      <c r="N152" s="25"/>
      <c r="O152" s="25"/>
      <c r="P152" s="25"/>
      <c r="Q152" s="25"/>
      <c r="R152" s="25"/>
      <c r="S152" s="25"/>
      <c r="T152" s="53">
        <v>5750</v>
      </c>
      <c r="U152" s="25"/>
      <c r="V152" s="5"/>
    </row>
    <row r="153" spans="1:23" x14ac:dyDescent="0.35">
      <c r="A153" s="24"/>
      <c r="B153" s="25" t="s">
        <v>264</v>
      </c>
      <c r="C153" s="25"/>
      <c r="D153" s="25"/>
      <c r="E153" s="25"/>
      <c r="F153" s="25"/>
      <c r="G153" s="25"/>
      <c r="H153" s="25"/>
      <c r="I153" s="25"/>
      <c r="J153" s="25"/>
      <c r="K153" s="25"/>
      <c r="L153" s="25"/>
      <c r="M153" s="25"/>
      <c r="N153" s="25"/>
      <c r="O153" s="25"/>
      <c r="P153" s="25"/>
      <c r="Q153" s="25"/>
      <c r="R153" s="25"/>
      <c r="S153" s="25"/>
      <c r="T153" s="53">
        <v>2892</v>
      </c>
      <c r="U153" s="25"/>
      <c r="V153" s="5"/>
    </row>
    <row r="154" spans="1:23" x14ac:dyDescent="0.35">
      <c r="A154" s="24"/>
      <c r="B154" s="25" t="s">
        <v>183</v>
      </c>
      <c r="C154" s="25"/>
      <c r="D154" s="25"/>
      <c r="E154" s="25"/>
      <c r="F154" s="25"/>
      <c r="G154" s="25"/>
      <c r="H154" s="25"/>
      <c r="I154" s="25"/>
      <c r="J154" s="25"/>
      <c r="K154" s="25"/>
      <c r="L154" s="25"/>
      <c r="M154" s="25"/>
      <c r="N154" s="25"/>
      <c r="O154" s="25"/>
      <c r="P154" s="25"/>
      <c r="Q154" s="25"/>
      <c r="R154" s="25"/>
      <c r="S154" s="25"/>
      <c r="T154" s="53">
        <v>0</v>
      </c>
      <c r="U154" s="25"/>
      <c r="V154" s="5"/>
    </row>
    <row r="155" spans="1:23" x14ac:dyDescent="0.35">
      <c r="A155" s="24"/>
      <c r="B155" s="25" t="s">
        <v>267</v>
      </c>
      <c r="C155" s="25"/>
      <c r="D155" s="25"/>
      <c r="E155" s="25"/>
      <c r="F155" s="25"/>
      <c r="G155" s="25"/>
      <c r="H155" s="25"/>
      <c r="I155" s="25"/>
      <c r="J155" s="25"/>
      <c r="K155" s="25"/>
      <c r="L155" s="25"/>
      <c r="M155" s="25"/>
      <c r="N155" s="25"/>
      <c r="O155" s="25"/>
      <c r="P155" s="25"/>
      <c r="Q155" s="25"/>
      <c r="R155" s="25"/>
      <c r="S155" s="25"/>
      <c r="T155" s="53">
        <v>2586</v>
      </c>
      <c r="U155" s="25"/>
      <c r="V155" s="5"/>
    </row>
    <row r="156" spans="1:23" x14ac:dyDescent="0.35">
      <c r="A156" s="24"/>
      <c r="B156" s="25"/>
      <c r="C156" s="25"/>
      <c r="D156" s="25"/>
      <c r="E156" s="25"/>
      <c r="F156" s="25"/>
      <c r="G156" s="25"/>
      <c r="H156" s="25"/>
      <c r="I156" s="25"/>
      <c r="J156" s="25"/>
      <c r="K156" s="25"/>
      <c r="L156" s="25"/>
      <c r="M156" s="25"/>
      <c r="N156" s="25"/>
      <c r="O156" s="25"/>
      <c r="P156" s="25"/>
      <c r="Q156" s="25"/>
      <c r="R156" s="25"/>
      <c r="S156" s="25"/>
      <c r="T156" s="53"/>
      <c r="U156" s="25"/>
      <c r="V156" s="5"/>
    </row>
    <row r="157" spans="1:23" x14ac:dyDescent="0.35">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3" x14ac:dyDescent="0.35">
      <c r="A158" s="6"/>
      <c r="B158" s="119" t="s">
        <v>24</v>
      </c>
      <c r="C158" s="8"/>
      <c r="D158" s="8"/>
      <c r="E158" s="8"/>
      <c r="F158" s="8"/>
      <c r="G158" s="8"/>
      <c r="H158" s="8"/>
      <c r="I158" s="8"/>
      <c r="J158" s="8"/>
      <c r="K158" s="8"/>
      <c r="L158" s="8"/>
      <c r="M158" s="8"/>
      <c r="N158" s="8"/>
      <c r="O158" s="8"/>
      <c r="P158" s="8"/>
      <c r="Q158" s="8"/>
      <c r="R158" s="8"/>
      <c r="S158" s="8"/>
      <c r="T158" s="52"/>
      <c r="U158" s="8"/>
      <c r="V158" s="5"/>
    </row>
    <row r="159" spans="1:23" x14ac:dyDescent="0.35">
      <c r="A159" s="24"/>
      <c r="B159" s="25" t="s">
        <v>49</v>
      </c>
      <c r="C159" s="25"/>
      <c r="D159" s="25"/>
      <c r="E159" s="25"/>
      <c r="F159" s="25"/>
      <c r="G159" s="25"/>
      <c r="H159" s="25"/>
      <c r="I159" s="25"/>
      <c r="J159" s="25"/>
      <c r="K159" s="25"/>
      <c r="L159" s="25"/>
      <c r="M159" s="25"/>
      <c r="N159" s="25"/>
      <c r="O159" s="25"/>
      <c r="P159" s="25"/>
      <c r="Q159" s="25"/>
      <c r="R159" s="25"/>
      <c r="S159" s="25"/>
      <c r="T159" s="59" t="s">
        <v>125</v>
      </c>
      <c r="U159" s="25"/>
      <c r="V159" s="5"/>
    </row>
    <row r="160" spans="1:23" x14ac:dyDescent="0.35">
      <c r="A160" s="24"/>
      <c r="B160" s="25" t="s">
        <v>50</v>
      </c>
      <c r="C160" s="164"/>
      <c r="D160" s="164"/>
      <c r="E160" s="164"/>
      <c r="F160" s="164"/>
      <c r="G160" s="164"/>
      <c r="H160" s="164"/>
      <c r="I160" s="164"/>
      <c r="J160" s="164"/>
      <c r="K160" s="164"/>
      <c r="L160" s="164"/>
      <c r="M160" s="164"/>
      <c r="N160" s="164"/>
      <c r="O160" s="164"/>
      <c r="P160" s="164"/>
      <c r="Q160" s="164"/>
      <c r="R160" s="164"/>
      <c r="S160" s="164"/>
      <c r="T160" s="59" t="s">
        <v>125</v>
      </c>
      <c r="U160" s="25"/>
      <c r="V160" s="5"/>
    </row>
    <row r="161" spans="1:22" x14ac:dyDescent="0.35">
      <c r="A161" s="24"/>
      <c r="B161" s="25" t="s">
        <v>51</v>
      </c>
      <c r="C161" s="25"/>
      <c r="D161" s="25"/>
      <c r="E161" s="25"/>
      <c r="F161" s="25"/>
      <c r="G161" s="25"/>
      <c r="H161" s="25"/>
      <c r="I161" s="25"/>
      <c r="J161" s="25"/>
      <c r="K161" s="25"/>
      <c r="L161" s="25"/>
      <c r="M161" s="25"/>
      <c r="N161" s="25"/>
      <c r="O161" s="25"/>
      <c r="P161" s="25"/>
      <c r="Q161" s="25"/>
      <c r="R161" s="25"/>
      <c r="S161" s="25"/>
      <c r="T161" s="59" t="s">
        <v>125</v>
      </c>
      <c r="U161" s="25"/>
      <c r="V161" s="5"/>
    </row>
    <row r="162" spans="1:22" x14ac:dyDescent="0.35">
      <c r="A162" s="24"/>
      <c r="B162" s="25" t="s">
        <v>52</v>
      </c>
      <c r="C162" s="25"/>
      <c r="D162" s="25"/>
      <c r="E162" s="25"/>
      <c r="F162" s="25"/>
      <c r="G162" s="25"/>
      <c r="H162" s="25"/>
      <c r="I162" s="25"/>
      <c r="J162" s="25"/>
      <c r="K162" s="25"/>
      <c r="L162" s="25"/>
      <c r="M162" s="25"/>
      <c r="N162" s="25"/>
      <c r="O162" s="25"/>
      <c r="P162" s="25"/>
      <c r="Q162" s="25"/>
      <c r="R162" s="25"/>
      <c r="S162" s="25"/>
      <c r="T162" s="59" t="s">
        <v>125</v>
      </c>
      <c r="U162" s="25"/>
      <c r="V162" s="5"/>
    </row>
    <row r="163" spans="1:22"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x14ac:dyDescent="0.35">
      <c r="A164" s="6"/>
      <c r="B164" s="119" t="s">
        <v>53</v>
      </c>
      <c r="C164" s="8"/>
      <c r="D164" s="8"/>
      <c r="E164" s="8"/>
      <c r="F164" s="8"/>
      <c r="G164" s="8"/>
      <c r="H164" s="8"/>
      <c r="I164" s="8"/>
      <c r="J164" s="8"/>
      <c r="K164" s="8"/>
      <c r="L164" s="8"/>
      <c r="M164" s="8"/>
      <c r="N164" s="8"/>
      <c r="O164" s="8"/>
      <c r="P164" s="8"/>
      <c r="Q164" s="8"/>
      <c r="R164" s="8"/>
      <c r="S164" s="8"/>
      <c r="T164" s="63"/>
      <c r="U164" s="8"/>
      <c r="V164" s="5"/>
    </row>
    <row r="165" spans="1:22" x14ac:dyDescent="0.35">
      <c r="A165" s="24"/>
      <c r="B165" s="25" t="s">
        <v>54</v>
      </c>
      <c r="C165" s="25"/>
      <c r="D165" s="25"/>
      <c r="E165" s="25"/>
      <c r="F165" s="25"/>
      <c r="G165" s="25"/>
      <c r="H165" s="25"/>
      <c r="I165" s="25"/>
      <c r="J165" s="25"/>
      <c r="K165" s="25"/>
      <c r="L165" s="25"/>
      <c r="M165" s="25"/>
      <c r="N165" s="25"/>
      <c r="O165" s="25"/>
      <c r="P165" s="25"/>
      <c r="Q165" s="25"/>
      <c r="R165" s="25"/>
      <c r="S165" s="25"/>
      <c r="T165" s="53">
        <v>0</v>
      </c>
      <c r="U165" s="25"/>
      <c r="V165" s="5"/>
    </row>
    <row r="166" spans="1:22" x14ac:dyDescent="0.35">
      <c r="A166" s="24"/>
      <c r="B166" s="25" t="s">
        <v>55</v>
      </c>
      <c r="C166" s="25"/>
      <c r="D166" s="25"/>
      <c r="E166" s="25"/>
      <c r="F166" s="25"/>
      <c r="G166" s="25"/>
      <c r="H166" s="25"/>
      <c r="I166" s="25"/>
      <c r="J166" s="25"/>
      <c r="K166" s="25"/>
      <c r="L166" s="25"/>
      <c r="M166" s="25"/>
      <c r="N166" s="25"/>
      <c r="O166" s="25"/>
      <c r="P166" s="25"/>
      <c r="Q166" s="25"/>
      <c r="R166" s="25"/>
      <c r="S166" s="25"/>
      <c r="T166" s="53">
        <v>66</v>
      </c>
      <c r="U166" s="25"/>
      <c r="V166" s="5"/>
    </row>
    <row r="167" spans="1:22" x14ac:dyDescent="0.35">
      <c r="A167" s="24"/>
      <c r="B167" s="25" t="s">
        <v>56</v>
      </c>
      <c r="C167" s="25"/>
      <c r="D167" s="25"/>
      <c r="E167" s="25"/>
      <c r="F167" s="25"/>
      <c r="G167" s="25"/>
      <c r="H167" s="25"/>
      <c r="I167" s="25"/>
      <c r="J167" s="25"/>
      <c r="K167" s="25"/>
      <c r="L167" s="25"/>
      <c r="M167" s="25"/>
      <c r="N167" s="25"/>
      <c r="O167" s="25"/>
      <c r="P167" s="25"/>
      <c r="Q167" s="25"/>
      <c r="R167" s="25"/>
      <c r="S167" s="25"/>
      <c r="T167" s="53">
        <f>T166+T165</f>
        <v>66</v>
      </c>
      <c r="U167" s="25"/>
      <c r="V167" s="5"/>
    </row>
    <row r="168" spans="1:22" x14ac:dyDescent="0.35">
      <c r="A168" s="24"/>
      <c r="B168" s="25" t="s">
        <v>315</v>
      </c>
      <c r="C168" s="25"/>
      <c r="D168" s="25"/>
      <c r="E168" s="25"/>
      <c r="F168" s="25"/>
      <c r="G168" s="25"/>
      <c r="H168" s="25"/>
      <c r="I168" s="25"/>
      <c r="J168" s="25"/>
      <c r="K168" s="25"/>
      <c r="L168" s="25"/>
      <c r="M168" s="25"/>
      <c r="N168" s="25"/>
      <c r="O168" s="25"/>
      <c r="P168" s="25"/>
      <c r="Q168" s="25"/>
      <c r="R168" s="25"/>
      <c r="S168" s="25"/>
      <c r="T168" s="53">
        <f>T115</f>
        <v>-66</v>
      </c>
      <c r="U168" s="25"/>
      <c r="V168" s="5"/>
    </row>
    <row r="169" spans="1:22" x14ac:dyDescent="0.35">
      <c r="A169" s="24"/>
      <c r="B169" s="25" t="s">
        <v>57</v>
      </c>
      <c r="C169" s="25"/>
      <c r="D169" s="25"/>
      <c r="E169" s="25"/>
      <c r="F169" s="25"/>
      <c r="G169" s="25"/>
      <c r="H169" s="25"/>
      <c r="I169" s="25"/>
      <c r="J169" s="25"/>
      <c r="K169" s="25"/>
      <c r="L169" s="25"/>
      <c r="M169" s="25"/>
      <c r="N169" s="25"/>
      <c r="O169" s="25"/>
      <c r="P169" s="25"/>
      <c r="Q169" s="25"/>
      <c r="R169" s="25"/>
      <c r="S169" s="25"/>
      <c r="T169" s="53">
        <f>T167+T168</f>
        <v>0</v>
      </c>
      <c r="U169" s="25"/>
      <c r="V169" s="5"/>
    </row>
    <row r="170" spans="1:22" ht="16" thickBot="1" x14ac:dyDescent="0.4">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x14ac:dyDescent="0.35">
      <c r="A171" s="2"/>
      <c r="B171" s="4"/>
      <c r="C171" s="4"/>
      <c r="D171" s="4"/>
      <c r="E171" s="4"/>
      <c r="F171" s="4"/>
      <c r="G171" s="4"/>
      <c r="H171" s="4"/>
      <c r="I171" s="4"/>
      <c r="J171" s="4"/>
      <c r="K171" s="4"/>
      <c r="L171" s="4"/>
      <c r="M171" s="4"/>
      <c r="N171" s="4"/>
      <c r="O171" s="4"/>
      <c r="P171" s="4"/>
      <c r="Q171" s="4"/>
      <c r="R171" s="4"/>
      <c r="S171" s="4"/>
      <c r="T171" s="50"/>
      <c r="U171" s="4"/>
      <c r="V171" s="5"/>
    </row>
    <row r="172" spans="1:22" x14ac:dyDescent="0.35">
      <c r="A172" s="6"/>
      <c r="B172" s="119" t="s">
        <v>58</v>
      </c>
      <c r="C172" s="8"/>
      <c r="D172" s="8"/>
      <c r="E172" s="8"/>
      <c r="F172" s="8"/>
      <c r="G172" s="8"/>
      <c r="H172" s="8"/>
      <c r="I172" s="8"/>
      <c r="J172" s="8"/>
      <c r="K172" s="8"/>
      <c r="L172" s="8"/>
      <c r="M172" s="8"/>
      <c r="N172" s="8"/>
      <c r="O172" s="8"/>
      <c r="P172" s="8"/>
      <c r="Q172" s="8"/>
      <c r="R172" s="8"/>
      <c r="S172" s="8"/>
      <c r="T172" s="52"/>
      <c r="U172" s="8"/>
      <c r="V172" s="5"/>
    </row>
    <row r="173" spans="1:22" x14ac:dyDescent="0.35">
      <c r="A173" s="6"/>
      <c r="B173" s="21"/>
      <c r="C173" s="8"/>
      <c r="D173" s="8"/>
      <c r="E173" s="8"/>
      <c r="F173" s="8"/>
      <c r="G173" s="8"/>
      <c r="H173" s="8"/>
      <c r="I173" s="8"/>
      <c r="J173" s="8"/>
      <c r="K173" s="8"/>
      <c r="L173" s="8"/>
      <c r="M173" s="8"/>
      <c r="N173" s="8"/>
      <c r="O173" s="8"/>
      <c r="P173" s="8"/>
      <c r="Q173" s="8"/>
      <c r="R173" s="8"/>
      <c r="S173" s="8"/>
      <c r="T173" s="52"/>
      <c r="U173" s="8"/>
      <c r="V173" s="5"/>
    </row>
    <row r="174" spans="1:22" x14ac:dyDescent="0.35">
      <c r="A174" s="24"/>
      <c r="B174" s="25" t="s">
        <v>59</v>
      </c>
      <c r="C174" s="25"/>
      <c r="D174" s="25"/>
      <c r="E174" s="25"/>
      <c r="F174" s="25"/>
      <c r="G174" s="25"/>
      <c r="H174" s="25"/>
      <c r="I174" s="25"/>
      <c r="J174" s="25"/>
      <c r="K174" s="25"/>
      <c r="L174" s="25"/>
      <c r="M174" s="25"/>
      <c r="N174" s="25"/>
      <c r="O174" s="25"/>
      <c r="P174" s="25"/>
      <c r="Q174" s="25"/>
      <c r="R174" s="25"/>
      <c r="S174" s="25"/>
      <c r="T174" s="53">
        <f>T72</f>
        <v>627036</v>
      </c>
      <c r="U174" s="25"/>
      <c r="V174" s="5"/>
    </row>
    <row r="175" spans="1:22" x14ac:dyDescent="0.35">
      <c r="A175" s="24"/>
      <c r="B175" s="25" t="s">
        <v>60</v>
      </c>
      <c r="C175" s="25"/>
      <c r="D175" s="25"/>
      <c r="E175" s="25"/>
      <c r="F175" s="25"/>
      <c r="G175" s="25"/>
      <c r="H175" s="25"/>
      <c r="I175" s="25"/>
      <c r="J175" s="25"/>
      <c r="K175" s="25"/>
      <c r="L175" s="25"/>
      <c r="M175" s="25"/>
      <c r="N175" s="25"/>
      <c r="O175" s="25"/>
      <c r="P175" s="25"/>
      <c r="Q175" s="25"/>
      <c r="R175" s="25"/>
      <c r="S175" s="25"/>
      <c r="T175" s="53">
        <f>T85</f>
        <v>627036</v>
      </c>
      <c r="U175" s="25"/>
      <c r="V175" s="5"/>
    </row>
    <row r="176" spans="1:22" ht="16" thickBot="1" x14ac:dyDescent="0.4">
      <c r="A176" s="24"/>
      <c r="B176" s="25"/>
      <c r="C176" s="25"/>
      <c r="D176" s="25"/>
      <c r="E176" s="25"/>
      <c r="F176" s="25"/>
      <c r="G176" s="25"/>
      <c r="H176" s="25"/>
      <c r="I176" s="25"/>
      <c r="J176" s="25"/>
      <c r="K176" s="25"/>
      <c r="L176" s="25"/>
      <c r="M176" s="25"/>
      <c r="N176" s="25"/>
      <c r="O176" s="25"/>
      <c r="P176" s="25"/>
      <c r="Q176" s="25"/>
      <c r="R176" s="25"/>
      <c r="S176" s="25"/>
      <c r="T176" s="61"/>
      <c r="U176" s="25"/>
      <c r="V176" s="5"/>
    </row>
    <row r="177" spans="1:22" x14ac:dyDescent="0.35">
      <c r="A177" s="2"/>
      <c r="B177" s="4"/>
      <c r="C177" s="4"/>
      <c r="D177" s="4"/>
      <c r="E177" s="4"/>
      <c r="F177" s="4"/>
      <c r="G177" s="4"/>
      <c r="H177" s="4"/>
      <c r="I177" s="4"/>
      <c r="J177" s="4"/>
      <c r="K177" s="4"/>
      <c r="L177" s="4"/>
      <c r="M177" s="4"/>
      <c r="N177" s="4"/>
      <c r="O177" s="4"/>
      <c r="P177" s="4"/>
      <c r="Q177" s="4"/>
      <c r="R177" s="4"/>
      <c r="S177" s="4"/>
      <c r="T177" s="50"/>
      <c r="U177" s="4"/>
      <c r="V177" s="5"/>
    </row>
    <row r="178" spans="1:22" x14ac:dyDescent="0.35">
      <c r="A178" s="6"/>
      <c r="B178" s="119" t="s">
        <v>61</v>
      </c>
      <c r="C178" s="117"/>
      <c r="D178" s="117"/>
      <c r="E178" s="117"/>
      <c r="F178" s="117"/>
      <c r="G178" s="117"/>
      <c r="H178" s="120"/>
      <c r="I178" s="120"/>
      <c r="J178" s="120"/>
      <c r="K178" s="120"/>
      <c r="L178" s="120"/>
      <c r="M178" s="120"/>
      <c r="N178" s="120"/>
      <c r="O178" s="120"/>
      <c r="P178" s="120"/>
      <c r="Q178" s="120" t="s">
        <v>105</v>
      </c>
      <c r="R178" s="120" t="s">
        <v>187</v>
      </c>
      <c r="S178" s="111"/>
      <c r="T178" s="121" t="s">
        <v>121</v>
      </c>
      <c r="U178" s="10"/>
      <c r="V178" s="5"/>
    </row>
    <row r="179" spans="1:22" x14ac:dyDescent="0.35">
      <c r="A179" s="24"/>
      <c r="B179" s="25" t="s">
        <v>62</v>
      </c>
      <c r="C179" s="25"/>
      <c r="D179" s="25"/>
      <c r="E179" s="25"/>
      <c r="F179" s="25"/>
      <c r="G179" s="25"/>
      <c r="H179" s="25"/>
      <c r="I179" s="25"/>
      <c r="J179" s="25"/>
      <c r="K179" s="25"/>
      <c r="L179" s="25"/>
      <c r="M179" s="25"/>
      <c r="N179" s="25"/>
      <c r="O179" s="25"/>
      <c r="P179" s="25"/>
      <c r="Q179" s="53">
        <f>+T34*0.16</f>
        <v>160056.48000000001</v>
      </c>
      <c r="R179" s="40"/>
      <c r="S179" s="25"/>
      <c r="T179" s="53"/>
      <c r="U179" s="25"/>
      <c r="V179" s="5"/>
    </row>
    <row r="180" spans="1:22" x14ac:dyDescent="0.35">
      <c r="A180" s="24"/>
      <c r="B180" s="25" t="s">
        <v>63</v>
      </c>
      <c r="C180" s="25"/>
      <c r="D180" s="25"/>
      <c r="E180" s="25"/>
      <c r="F180" s="25"/>
      <c r="G180" s="25"/>
      <c r="H180" s="25"/>
      <c r="I180" s="25"/>
      <c r="J180" s="25"/>
      <c r="K180" s="25"/>
      <c r="L180" s="25"/>
      <c r="M180" s="25"/>
      <c r="N180" s="25"/>
      <c r="O180" s="25"/>
      <c r="P180" s="25"/>
      <c r="Q180" s="53">
        <f>+'Nov 07'!Q182</f>
        <v>31639</v>
      </c>
      <c r="R180" s="53">
        <f>+'Nov 07'!R182</f>
        <v>5773</v>
      </c>
      <c r="S180" s="25"/>
      <c r="T180" s="53">
        <f>Q180+R180</f>
        <v>37412</v>
      </c>
      <c r="U180" s="25"/>
      <c r="V180" s="5"/>
    </row>
    <row r="181" spans="1:22" x14ac:dyDescent="0.35">
      <c r="A181" s="24"/>
      <c r="B181" s="25" t="s">
        <v>64</v>
      </c>
      <c r="C181" s="25"/>
      <c r="D181" s="25"/>
      <c r="E181" s="25"/>
      <c r="F181" s="25"/>
      <c r="G181" s="25"/>
      <c r="H181" s="25"/>
      <c r="I181" s="25"/>
      <c r="J181" s="25"/>
      <c r="K181" s="25"/>
      <c r="L181" s="25"/>
      <c r="M181" s="25"/>
      <c r="N181" s="25"/>
      <c r="O181" s="25"/>
      <c r="P181" s="25"/>
      <c r="Q181" s="34">
        <v>2835</v>
      </c>
      <c r="R181" s="34">
        <v>13</v>
      </c>
      <c r="S181" s="25"/>
      <c r="T181" s="53">
        <f>Q181+R181</f>
        <v>2848</v>
      </c>
      <c r="U181" s="25"/>
      <c r="V181" s="5"/>
    </row>
    <row r="182" spans="1:22" x14ac:dyDescent="0.35">
      <c r="A182" s="24"/>
      <c r="B182" s="25" t="s">
        <v>65</v>
      </c>
      <c r="C182" s="25"/>
      <c r="D182" s="25"/>
      <c r="E182" s="25"/>
      <c r="F182" s="25"/>
      <c r="G182" s="25"/>
      <c r="H182" s="25"/>
      <c r="I182" s="25"/>
      <c r="J182" s="25"/>
      <c r="K182" s="25"/>
      <c r="L182" s="25"/>
      <c r="M182" s="25"/>
      <c r="N182" s="25"/>
      <c r="O182" s="25"/>
      <c r="P182" s="25"/>
      <c r="Q182" s="53">
        <f>Q180+Q181</f>
        <v>34474</v>
      </c>
      <c r="R182" s="53">
        <f>R181+R180</f>
        <v>5786</v>
      </c>
      <c r="S182" s="25"/>
      <c r="T182" s="53">
        <f>Q182+R182</f>
        <v>40260</v>
      </c>
      <c r="U182" s="25"/>
      <c r="V182" s="5"/>
    </row>
    <row r="183" spans="1:22" x14ac:dyDescent="0.35">
      <c r="A183" s="24"/>
      <c r="B183" s="25" t="s">
        <v>66</v>
      </c>
      <c r="C183" s="25"/>
      <c r="D183" s="25"/>
      <c r="E183" s="25"/>
      <c r="F183" s="25"/>
      <c r="G183" s="25"/>
      <c r="H183" s="25"/>
      <c r="I183" s="25"/>
      <c r="J183" s="25"/>
      <c r="K183" s="25"/>
      <c r="L183" s="25"/>
      <c r="M183" s="25"/>
      <c r="N183" s="25"/>
      <c r="O183" s="25"/>
      <c r="P183" s="25"/>
      <c r="Q183" s="53">
        <f>Q179-Q182-R182</f>
        <v>119796.48000000001</v>
      </c>
      <c r="R183" s="40"/>
      <c r="S183" s="25"/>
      <c r="T183" s="53"/>
      <c r="U183" s="25"/>
      <c r="V183" s="5"/>
    </row>
    <row r="184" spans="1:22" ht="16" thickBot="1" x14ac:dyDescent="0.4">
      <c r="A184" s="24"/>
      <c r="B184" s="25"/>
      <c r="C184" s="25"/>
      <c r="D184" s="25"/>
      <c r="E184" s="25"/>
      <c r="F184" s="25"/>
      <c r="G184" s="25"/>
      <c r="H184" s="25"/>
      <c r="I184" s="25"/>
      <c r="J184" s="25"/>
      <c r="K184" s="25"/>
      <c r="L184" s="25"/>
      <c r="M184" s="25"/>
      <c r="N184" s="25"/>
      <c r="O184" s="25"/>
      <c r="P184" s="25"/>
      <c r="Q184" s="25"/>
      <c r="R184" s="25"/>
      <c r="S184" s="25"/>
      <c r="T184" s="61"/>
      <c r="U184" s="25"/>
      <c r="V184" s="5"/>
    </row>
    <row r="185" spans="1:22" x14ac:dyDescent="0.35">
      <c r="A185" s="2"/>
      <c r="B185" s="4"/>
      <c r="C185" s="4"/>
      <c r="D185" s="4"/>
      <c r="E185" s="4"/>
      <c r="F185" s="4"/>
      <c r="G185" s="4"/>
      <c r="H185" s="4"/>
      <c r="I185" s="4"/>
      <c r="J185" s="4"/>
      <c r="K185" s="4"/>
      <c r="L185" s="4"/>
      <c r="M185" s="4"/>
      <c r="N185" s="4"/>
      <c r="O185" s="4"/>
      <c r="P185" s="4"/>
      <c r="Q185" s="4"/>
      <c r="R185" s="4"/>
      <c r="S185" s="4"/>
      <c r="T185" s="50"/>
      <c r="U185" s="4"/>
      <c r="V185" s="5"/>
    </row>
    <row r="186" spans="1:22" x14ac:dyDescent="0.35">
      <c r="A186" s="6"/>
      <c r="B186" s="119" t="s">
        <v>67</v>
      </c>
      <c r="C186" s="8"/>
      <c r="D186" s="8"/>
      <c r="E186" s="8"/>
      <c r="F186" s="8"/>
      <c r="G186" s="8"/>
      <c r="H186" s="8"/>
      <c r="I186" s="8"/>
      <c r="J186" s="8"/>
      <c r="K186" s="8"/>
      <c r="L186" s="8"/>
      <c r="M186" s="8"/>
      <c r="N186" s="8"/>
      <c r="O186" s="8"/>
      <c r="P186" s="8"/>
      <c r="Q186" s="8"/>
      <c r="R186" s="8"/>
      <c r="S186" s="8"/>
      <c r="T186" s="65"/>
      <c r="U186" s="8"/>
      <c r="V186" s="5"/>
    </row>
    <row r="187" spans="1:22" x14ac:dyDescent="0.35">
      <c r="A187" s="24"/>
      <c r="B187" s="25" t="s">
        <v>68</v>
      </c>
      <c r="C187" s="25"/>
      <c r="D187" s="25"/>
      <c r="E187" s="25"/>
      <c r="F187" s="25"/>
      <c r="G187" s="25"/>
      <c r="H187" s="25"/>
      <c r="I187" s="25"/>
      <c r="J187" s="25"/>
      <c r="K187" s="25"/>
      <c r="L187" s="25"/>
      <c r="M187" s="25"/>
      <c r="N187" s="25"/>
      <c r="O187" s="25"/>
      <c r="P187" s="25"/>
      <c r="Q187" s="25"/>
      <c r="R187" s="25"/>
      <c r="S187" s="25"/>
      <c r="T187" s="59">
        <f>(T101+T103+T104+T105+T106+T107)/-(T108+T109)</f>
        <v>1.3615320739049201</v>
      </c>
      <c r="U187" s="25" t="s">
        <v>122</v>
      </c>
      <c r="V187" s="5"/>
    </row>
    <row r="188" spans="1:22" x14ac:dyDescent="0.35">
      <c r="A188" s="24"/>
      <c r="B188" s="25" t="s">
        <v>69</v>
      </c>
      <c r="C188" s="25"/>
      <c r="D188" s="25"/>
      <c r="E188" s="25"/>
      <c r="F188" s="25"/>
      <c r="G188" s="25"/>
      <c r="H188" s="25"/>
      <c r="I188" s="25"/>
      <c r="J188" s="25"/>
      <c r="K188" s="25"/>
      <c r="L188" s="25"/>
      <c r="M188" s="25"/>
      <c r="N188" s="25"/>
      <c r="O188" s="25"/>
      <c r="P188" s="25"/>
      <c r="Q188" s="25"/>
      <c r="R188" s="25"/>
      <c r="S188" s="25"/>
      <c r="T188" s="66">
        <v>1.41</v>
      </c>
      <c r="U188" s="25" t="s">
        <v>122</v>
      </c>
      <c r="V188" s="5"/>
    </row>
    <row r="189" spans="1:22" x14ac:dyDescent="0.35">
      <c r="A189" s="24"/>
      <c r="B189" s="25" t="s">
        <v>70</v>
      </c>
      <c r="C189" s="25"/>
      <c r="D189" s="25"/>
      <c r="E189" s="25"/>
      <c r="F189" s="25"/>
      <c r="G189" s="25"/>
      <c r="H189" s="25"/>
      <c r="I189" s="25"/>
      <c r="J189" s="25"/>
      <c r="K189" s="25"/>
      <c r="L189" s="25"/>
      <c r="M189" s="25"/>
      <c r="N189" s="25"/>
      <c r="O189" s="25"/>
      <c r="P189" s="25"/>
      <c r="Q189" s="25"/>
      <c r="R189" s="25"/>
      <c r="S189" s="25"/>
      <c r="T189" s="59">
        <f>(T101+T103+T104+T105+T106+T107+T108+T109)/-(T110+T111)</f>
        <v>4.7131258457374834</v>
      </c>
      <c r="U189" s="25" t="s">
        <v>122</v>
      </c>
      <c r="V189" s="5"/>
    </row>
    <row r="190" spans="1:22" x14ac:dyDescent="0.35">
      <c r="A190" s="24"/>
      <c r="B190" s="25" t="s">
        <v>71</v>
      </c>
      <c r="C190" s="25"/>
      <c r="D190" s="25"/>
      <c r="E190" s="25"/>
      <c r="F190" s="25"/>
      <c r="G190" s="25"/>
      <c r="H190" s="25"/>
      <c r="I190" s="25"/>
      <c r="J190" s="25"/>
      <c r="K190" s="25"/>
      <c r="L190" s="25"/>
      <c r="M190" s="25"/>
      <c r="N190" s="25"/>
      <c r="O190" s="25"/>
      <c r="P190" s="25"/>
      <c r="Q190" s="25"/>
      <c r="R190" s="25"/>
      <c r="S190" s="25"/>
      <c r="T190" s="66">
        <v>7.04</v>
      </c>
      <c r="U190" s="25" t="s">
        <v>122</v>
      </c>
      <c r="V190" s="5"/>
    </row>
    <row r="191" spans="1:22" x14ac:dyDescent="0.35">
      <c r="A191" s="24"/>
      <c r="B191" s="25" t="s">
        <v>232</v>
      </c>
      <c r="C191" s="25"/>
      <c r="D191" s="25"/>
      <c r="E191" s="25"/>
      <c r="F191" s="25"/>
      <c r="G191" s="25"/>
      <c r="H191" s="25"/>
      <c r="I191" s="25"/>
      <c r="J191" s="25"/>
      <c r="K191" s="25"/>
      <c r="L191" s="25"/>
      <c r="M191" s="25"/>
      <c r="N191" s="25"/>
      <c r="O191" s="25"/>
      <c r="P191" s="25"/>
      <c r="Q191" s="25"/>
      <c r="R191" s="25"/>
      <c r="S191" s="25"/>
      <c r="T191" s="59">
        <f>(T101+T103+T104+T105+T106+T107+T108+T109+T110+T111)/-(T112+T113)</f>
        <v>2.2454991816693943</v>
      </c>
      <c r="U191" s="25" t="s">
        <v>122</v>
      </c>
      <c r="V191" s="5"/>
    </row>
    <row r="192" spans="1:22" x14ac:dyDescent="0.35">
      <c r="A192" s="24"/>
      <c r="B192" s="25" t="s">
        <v>233</v>
      </c>
      <c r="C192" s="25"/>
      <c r="D192" s="25"/>
      <c r="E192" s="25"/>
      <c r="F192" s="25"/>
      <c r="G192" s="25"/>
      <c r="H192" s="25"/>
      <c r="I192" s="25"/>
      <c r="J192" s="25"/>
      <c r="K192" s="25"/>
      <c r="L192" s="25"/>
      <c r="M192" s="25"/>
      <c r="N192" s="25"/>
      <c r="O192" s="25"/>
      <c r="P192" s="25"/>
      <c r="Q192" s="25"/>
      <c r="R192" s="25"/>
      <c r="S192" s="25"/>
      <c r="T192" s="66">
        <v>3.62</v>
      </c>
      <c r="U192" s="25" t="s">
        <v>122</v>
      </c>
      <c r="V192" s="5"/>
    </row>
    <row r="193" spans="1:22"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x14ac:dyDescent="0.35">
      <c r="A194" s="24"/>
      <c r="B194" s="25"/>
      <c r="C194" s="25"/>
      <c r="D194" s="25"/>
      <c r="E194" s="25"/>
      <c r="F194" s="25"/>
      <c r="G194" s="25"/>
      <c r="H194" s="25"/>
      <c r="I194" s="25"/>
      <c r="J194" s="25"/>
      <c r="K194" s="25"/>
      <c r="L194" s="25"/>
      <c r="M194" s="25"/>
      <c r="N194" s="25"/>
      <c r="O194" s="25"/>
      <c r="P194" s="25"/>
      <c r="Q194" s="25"/>
      <c r="R194" s="25"/>
      <c r="S194" s="25"/>
      <c r="T194" s="25"/>
      <c r="U194" s="25"/>
      <c r="V194" s="5"/>
    </row>
    <row r="195" spans="1:22" x14ac:dyDescent="0.35">
      <c r="A195" s="6"/>
      <c r="B195" s="8"/>
      <c r="C195" s="8"/>
      <c r="D195" s="8"/>
      <c r="E195" s="8"/>
      <c r="F195" s="8"/>
      <c r="G195" s="8"/>
      <c r="H195" s="8"/>
      <c r="I195" s="8"/>
      <c r="J195" s="8"/>
      <c r="K195" s="8"/>
      <c r="L195" s="8"/>
      <c r="M195" s="8"/>
      <c r="N195" s="8"/>
      <c r="O195" s="8"/>
      <c r="P195" s="8"/>
      <c r="Q195" s="8"/>
      <c r="R195" s="8"/>
      <c r="S195" s="8"/>
      <c r="T195" s="8"/>
      <c r="U195" s="8"/>
      <c r="V195" s="5"/>
    </row>
    <row r="196" spans="1:22" ht="18" thickBot="1" x14ac:dyDescent="0.4">
      <c r="A196" s="101"/>
      <c r="B196" s="102" t="str">
        <f>B136</f>
        <v>PM10 INVESTOR REPORT QUARTER ENDING FEBRUARY 2008</v>
      </c>
      <c r="C196" s="166"/>
      <c r="D196" s="166"/>
      <c r="E196" s="166"/>
      <c r="F196" s="166"/>
      <c r="G196" s="166"/>
      <c r="H196" s="166"/>
      <c r="I196" s="166"/>
      <c r="J196" s="166"/>
      <c r="K196" s="166"/>
      <c r="L196" s="166"/>
      <c r="M196" s="166"/>
      <c r="N196" s="166"/>
      <c r="O196" s="166"/>
      <c r="P196" s="166"/>
      <c r="Q196" s="166"/>
      <c r="R196" s="166"/>
      <c r="S196" s="166"/>
      <c r="T196" s="166"/>
      <c r="U196" s="167"/>
      <c r="V196" s="5"/>
    </row>
    <row r="197" spans="1:22" x14ac:dyDescent="0.35">
      <c r="A197" s="67"/>
      <c r="B197" s="60" t="s">
        <v>72</v>
      </c>
      <c r="C197" s="68"/>
      <c r="D197" s="68"/>
      <c r="E197" s="68"/>
      <c r="F197" s="68"/>
      <c r="G197" s="69"/>
      <c r="H197" s="69"/>
      <c r="I197" s="69"/>
      <c r="J197" s="69"/>
      <c r="K197" s="69"/>
      <c r="L197" s="69"/>
      <c r="M197" s="69"/>
      <c r="N197" s="69"/>
      <c r="O197" s="69"/>
      <c r="P197" s="69"/>
      <c r="Q197" s="69"/>
      <c r="R197" s="70">
        <v>39507</v>
      </c>
      <c r="S197" s="4"/>
      <c r="T197" s="4"/>
      <c r="U197" s="4"/>
      <c r="V197" s="5"/>
    </row>
    <row r="198" spans="1:22" x14ac:dyDescent="0.35">
      <c r="A198" s="71"/>
      <c r="B198" s="72"/>
      <c r="C198" s="73"/>
      <c r="D198" s="73"/>
      <c r="E198" s="73"/>
      <c r="F198" s="73"/>
      <c r="G198" s="74"/>
      <c r="H198" s="74"/>
      <c r="I198" s="74"/>
      <c r="J198" s="74"/>
      <c r="K198" s="74"/>
      <c r="L198" s="74"/>
      <c r="M198" s="74"/>
      <c r="N198" s="74"/>
      <c r="O198" s="74"/>
      <c r="P198" s="74"/>
      <c r="Q198" s="74"/>
      <c r="R198" s="74"/>
      <c r="S198" s="8"/>
      <c r="T198" s="8"/>
      <c r="U198" s="8"/>
      <c r="V198" s="5"/>
    </row>
    <row r="199" spans="1:22" x14ac:dyDescent="0.35">
      <c r="A199" s="75"/>
      <c r="B199" s="76" t="s">
        <v>73</v>
      </c>
      <c r="C199" s="77"/>
      <c r="D199" s="77"/>
      <c r="E199" s="77"/>
      <c r="F199" s="77"/>
      <c r="G199" s="64"/>
      <c r="H199" s="64"/>
      <c r="I199" s="64"/>
      <c r="J199" s="64"/>
      <c r="K199" s="64"/>
      <c r="L199" s="64"/>
      <c r="M199" s="64"/>
      <c r="N199" s="64"/>
      <c r="O199" s="64"/>
      <c r="P199" s="64"/>
      <c r="Q199" s="64"/>
      <c r="R199" s="78">
        <v>5.3960000000000001E-2</v>
      </c>
      <c r="S199" s="25"/>
      <c r="T199" s="25"/>
      <c r="U199" s="25"/>
      <c r="V199" s="5"/>
    </row>
    <row r="200" spans="1:22" x14ac:dyDescent="0.35">
      <c r="A200" s="75"/>
      <c r="B200" s="76" t="s">
        <v>159</v>
      </c>
      <c r="C200" s="77"/>
      <c r="D200" s="77"/>
      <c r="E200" s="77"/>
      <c r="F200" s="77"/>
      <c r="G200" s="64"/>
      <c r="H200" s="64"/>
      <c r="I200" s="64"/>
      <c r="J200" s="64"/>
      <c r="K200" s="64"/>
      <c r="L200" s="64"/>
      <c r="M200" s="64"/>
      <c r="N200" s="64"/>
      <c r="O200" s="64"/>
      <c r="P200" s="64"/>
      <c r="Q200" s="64"/>
      <c r="R200" s="39">
        <v>4.7399999999999998E-2</v>
      </c>
      <c r="S200" s="25"/>
      <c r="T200" s="25"/>
      <c r="U200" s="25"/>
      <c r="V200" s="5"/>
    </row>
    <row r="201" spans="1:22" x14ac:dyDescent="0.35">
      <c r="A201" s="75"/>
      <c r="B201" s="76" t="s">
        <v>74</v>
      </c>
      <c r="C201" s="77"/>
      <c r="D201" s="77"/>
      <c r="E201" s="77"/>
      <c r="F201" s="77"/>
      <c r="G201" s="64"/>
      <c r="H201" s="64"/>
      <c r="I201" s="64"/>
      <c r="J201" s="64"/>
      <c r="K201" s="64"/>
      <c r="L201" s="64"/>
      <c r="M201" s="64"/>
      <c r="N201" s="64"/>
      <c r="O201" s="64"/>
      <c r="P201" s="64"/>
      <c r="Q201" s="64"/>
      <c r="R201" s="78">
        <f>R199-R200</f>
        <v>6.5600000000000033E-3</v>
      </c>
      <c r="S201" s="25"/>
      <c r="T201" s="25"/>
      <c r="U201" s="25"/>
      <c r="V201" s="5"/>
    </row>
    <row r="202" spans="1:22" x14ac:dyDescent="0.35">
      <c r="A202" s="75"/>
      <c r="B202" s="76" t="s">
        <v>75</v>
      </c>
      <c r="C202" s="77"/>
      <c r="D202" s="77"/>
      <c r="E202" s="77"/>
      <c r="F202" s="77"/>
      <c r="G202" s="64"/>
      <c r="H202" s="64"/>
      <c r="I202" s="64"/>
      <c r="J202" s="64"/>
      <c r="K202" s="64"/>
      <c r="L202" s="64"/>
      <c r="M202" s="64"/>
      <c r="N202" s="64"/>
      <c r="O202" s="64"/>
      <c r="P202" s="64"/>
      <c r="Q202" s="64"/>
      <c r="R202" s="78">
        <v>6.5970000000000001E-2</v>
      </c>
      <c r="S202" s="25"/>
      <c r="T202" s="25"/>
      <c r="U202" s="25"/>
      <c r="V202" s="5"/>
    </row>
    <row r="203" spans="1:22" x14ac:dyDescent="0.35">
      <c r="A203" s="75"/>
      <c r="B203" s="76" t="s">
        <v>262</v>
      </c>
      <c r="C203" s="77"/>
      <c r="D203" s="77"/>
      <c r="E203" s="77"/>
      <c r="F203" s="77"/>
      <c r="G203" s="64"/>
      <c r="H203" s="64"/>
      <c r="I203" s="64"/>
      <c r="J203" s="64"/>
      <c r="K203" s="64"/>
      <c r="L203" s="64"/>
      <c r="M203" s="64"/>
      <c r="N203" s="64"/>
      <c r="O203" s="64"/>
      <c r="P203" s="64"/>
      <c r="Q203" s="64"/>
      <c r="R203" s="78">
        <f>T43</f>
        <v>6.6231326962197898E-2</v>
      </c>
      <c r="S203" s="25"/>
      <c r="T203" s="25"/>
      <c r="U203" s="25"/>
      <c r="V203" s="5"/>
    </row>
    <row r="204" spans="1:22" x14ac:dyDescent="0.35">
      <c r="A204" s="75"/>
      <c r="B204" s="76" t="s">
        <v>76</v>
      </c>
      <c r="C204" s="77"/>
      <c r="D204" s="77"/>
      <c r="E204" s="77"/>
      <c r="F204" s="77"/>
      <c r="G204" s="64"/>
      <c r="H204" s="64"/>
      <c r="I204" s="64"/>
      <c r="J204" s="64"/>
      <c r="K204" s="64"/>
      <c r="L204" s="64"/>
      <c r="M204" s="64"/>
      <c r="N204" s="64"/>
      <c r="O204" s="64"/>
      <c r="P204" s="64"/>
      <c r="Q204" s="64"/>
      <c r="R204" s="78">
        <f>R202-R203</f>
        <v>-2.6132696219789697E-4</v>
      </c>
      <c r="S204" s="25"/>
      <c r="T204" s="25"/>
      <c r="U204" s="25"/>
      <c r="V204" s="5"/>
    </row>
    <row r="205" spans="1:22" x14ac:dyDescent="0.35">
      <c r="A205" s="75"/>
      <c r="B205" s="76" t="s">
        <v>269</v>
      </c>
      <c r="C205" s="77"/>
      <c r="D205" s="77"/>
      <c r="E205" s="77"/>
      <c r="F205" s="77"/>
      <c r="G205" s="64"/>
      <c r="H205" s="64"/>
      <c r="I205" s="64"/>
      <c r="J205" s="64"/>
      <c r="K205" s="64"/>
      <c r="L205" s="64"/>
      <c r="M205" s="64"/>
      <c r="N205" s="64"/>
      <c r="O205" s="64"/>
      <c r="P205" s="64"/>
      <c r="Q205" s="64"/>
      <c r="R205" s="78">
        <f>+T101/L69</f>
        <v>1.9135008750158413E-2</v>
      </c>
      <c r="S205" s="25"/>
      <c r="T205" s="25"/>
      <c r="U205" s="25"/>
      <c r="V205" s="5"/>
    </row>
    <row r="206" spans="1:22" x14ac:dyDescent="0.35">
      <c r="A206" s="75"/>
      <c r="B206" s="76" t="s">
        <v>251</v>
      </c>
      <c r="C206" s="77"/>
      <c r="D206" s="77"/>
      <c r="E206" s="77"/>
      <c r="F206" s="77"/>
      <c r="G206" s="64"/>
      <c r="H206" s="64"/>
      <c r="I206" s="64"/>
      <c r="J206" s="64"/>
      <c r="K206" s="64"/>
      <c r="L206" s="64"/>
      <c r="M206" s="64"/>
      <c r="N206" s="64"/>
      <c r="O206" s="64"/>
      <c r="P206" s="64"/>
      <c r="Q206" s="64"/>
      <c r="R206" s="130">
        <v>51653</v>
      </c>
      <c r="S206" s="25"/>
      <c r="T206" s="25"/>
      <c r="U206" s="25"/>
      <c r="V206" s="5"/>
    </row>
    <row r="207" spans="1:22" x14ac:dyDescent="0.35">
      <c r="A207" s="75"/>
      <c r="B207" s="76" t="s">
        <v>252</v>
      </c>
      <c r="C207" s="77"/>
      <c r="D207" s="77"/>
      <c r="E207" s="77"/>
      <c r="F207" s="77"/>
      <c r="G207" s="64"/>
      <c r="H207" s="64"/>
      <c r="I207" s="64"/>
      <c r="J207" s="64"/>
      <c r="K207" s="64"/>
      <c r="L207" s="64"/>
      <c r="M207" s="64"/>
      <c r="N207" s="64"/>
      <c r="O207" s="64"/>
      <c r="P207" s="64"/>
      <c r="Q207" s="64"/>
      <c r="R207" s="130">
        <v>51653</v>
      </c>
      <c r="S207" s="25"/>
      <c r="T207" s="25"/>
      <c r="U207" s="25"/>
      <c r="V207" s="5"/>
    </row>
    <row r="208" spans="1:22" x14ac:dyDescent="0.35">
      <c r="A208" s="75"/>
      <c r="B208" s="76" t="s">
        <v>253</v>
      </c>
      <c r="C208" s="77"/>
      <c r="D208" s="77"/>
      <c r="E208" s="77"/>
      <c r="F208" s="77"/>
      <c r="G208" s="64"/>
      <c r="H208" s="64"/>
      <c r="I208" s="64"/>
      <c r="J208" s="64"/>
      <c r="K208" s="64"/>
      <c r="L208" s="64"/>
      <c r="M208" s="64"/>
      <c r="N208" s="64"/>
      <c r="O208" s="64"/>
      <c r="P208" s="64"/>
      <c r="Q208" s="64"/>
      <c r="R208" s="130">
        <v>51653</v>
      </c>
      <c r="S208" s="25"/>
      <c r="T208" s="25"/>
      <c r="U208" s="25"/>
      <c r="V208" s="5"/>
    </row>
    <row r="209" spans="1:22" x14ac:dyDescent="0.35">
      <c r="A209" s="75"/>
      <c r="B209" s="76" t="s">
        <v>77</v>
      </c>
      <c r="C209" s="77"/>
      <c r="D209" s="77"/>
      <c r="E209" s="77"/>
      <c r="F209" s="77"/>
      <c r="G209" s="64"/>
      <c r="H209" s="64"/>
      <c r="I209" s="64"/>
      <c r="J209" s="64"/>
      <c r="K209" s="64"/>
      <c r="L209" s="64"/>
      <c r="M209" s="64"/>
      <c r="N209" s="64"/>
      <c r="O209" s="64"/>
      <c r="P209" s="64"/>
      <c r="Q209" s="64"/>
      <c r="R209" s="134">
        <v>21.48</v>
      </c>
      <c r="S209" s="25" t="s">
        <v>117</v>
      </c>
      <c r="T209" s="25"/>
      <c r="U209" s="25"/>
      <c r="V209" s="5"/>
    </row>
    <row r="210" spans="1:22" x14ac:dyDescent="0.35">
      <c r="A210" s="75"/>
      <c r="B210" s="76" t="s">
        <v>78</v>
      </c>
      <c r="C210" s="77"/>
      <c r="D210" s="77"/>
      <c r="E210" s="77"/>
      <c r="F210" s="77"/>
      <c r="G210" s="64"/>
      <c r="H210" s="64"/>
      <c r="I210" s="64"/>
      <c r="J210" s="64"/>
      <c r="K210" s="64"/>
      <c r="L210" s="64"/>
      <c r="M210" s="64"/>
      <c r="N210" s="64"/>
      <c r="O210" s="64"/>
      <c r="P210" s="64"/>
      <c r="Q210" s="64"/>
      <c r="R210" s="134">
        <v>19.32</v>
      </c>
      <c r="S210" s="25" t="s">
        <v>117</v>
      </c>
      <c r="T210" s="25"/>
      <c r="U210" s="25"/>
      <c r="V210" s="5"/>
    </row>
    <row r="211" spans="1:22" x14ac:dyDescent="0.35">
      <c r="A211" s="75"/>
      <c r="B211" s="76" t="s">
        <v>79</v>
      </c>
      <c r="C211" s="77"/>
      <c r="D211" s="77"/>
      <c r="E211" s="77"/>
      <c r="F211" s="77"/>
      <c r="G211" s="64"/>
      <c r="H211" s="64"/>
      <c r="I211" s="64"/>
      <c r="J211" s="64"/>
      <c r="K211" s="64"/>
      <c r="L211" s="64"/>
      <c r="M211" s="64"/>
      <c r="N211" s="64"/>
      <c r="O211" s="64"/>
      <c r="P211" s="64"/>
      <c r="Q211" s="64"/>
      <c r="R211" s="78">
        <f>+N69/L69</f>
        <v>0.11167594368571766</v>
      </c>
      <c r="S211" s="25"/>
      <c r="T211" s="25"/>
      <c r="U211" s="25"/>
      <c r="V211" s="5"/>
    </row>
    <row r="212" spans="1:22" x14ac:dyDescent="0.35">
      <c r="A212" s="75"/>
      <c r="B212" s="76" t="s">
        <v>80</v>
      </c>
      <c r="C212" s="77"/>
      <c r="D212" s="77"/>
      <c r="E212" s="77"/>
      <c r="F212" s="77"/>
      <c r="G212" s="64"/>
      <c r="H212" s="64"/>
      <c r="I212" s="64"/>
      <c r="J212" s="64"/>
      <c r="K212" s="64"/>
      <c r="L212" s="64"/>
      <c r="M212" s="64"/>
      <c r="N212" s="64"/>
      <c r="O212" s="64"/>
      <c r="P212" s="64"/>
      <c r="Q212" s="64"/>
      <c r="R212" s="78">
        <v>0.1988</v>
      </c>
      <c r="S212" s="25"/>
      <c r="T212" s="25"/>
      <c r="U212" s="25"/>
      <c r="V212" s="5"/>
    </row>
    <row r="213" spans="1:22" x14ac:dyDescent="0.35">
      <c r="A213" s="75"/>
      <c r="B213" s="76"/>
      <c r="C213" s="76"/>
      <c r="D213" s="76"/>
      <c r="E213" s="76"/>
      <c r="F213" s="76"/>
      <c r="G213" s="25"/>
      <c r="H213" s="25"/>
      <c r="I213" s="25"/>
      <c r="J213" s="25"/>
      <c r="K213" s="25"/>
      <c r="L213" s="25"/>
      <c r="M213" s="25"/>
      <c r="N213" s="25"/>
      <c r="O213" s="25"/>
      <c r="P213" s="25"/>
      <c r="Q213" s="25"/>
      <c r="R213" s="61"/>
      <c r="S213" s="25"/>
      <c r="T213" s="79"/>
      <c r="U213" s="25"/>
      <c r="V213" s="5"/>
    </row>
    <row r="214" spans="1:22" x14ac:dyDescent="0.35">
      <c r="A214" s="80"/>
      <c r="B214" s="14" t="s">
        <v>81</v>
      </c>
      <c r="C214" s="81"/>
      <c r="D214" s="81"/>
      <c r="E214" s="81"/>
      <c r="F214" s="82"/>
      <c r="G214" s="81"/>
      <c r="H214" s="17"/>
      <c r="I214" s="17"/>
      <c r="J214" s="17"/>
      <c r="K214" s="17"/>
      <c r="L214" s="17"/>
      <c r="M214" s="17"/>
      <c r="N214" s="17"/>
      <c r="O214" s="17"/>
      <c r="P214" s="17"/>
      <c r="Q214" s="17" t="s">
        <v>106</v>
      </c>
      <c r="R214" s="83" t="s">
        <v>113</v>
      </c>
      <c r="S214" s="8"/>
      <c r="T214" s="8"/>
      <c r="U214" s="8"/>
      <c r="V214" s="5"/>
    </row>
    <row r="215" spans="1:22" x14ac:dyDescent="0.35">
      <c r="A215" s="84"/>
      <c r="B215" s="76" t="s">
        <v>82</v>
      </c>
      <c r="C215" s="54"/>
      <c r="D215" s="54"/>
      <c r="E215" s="54"/>
      <c r="F215" s="25"/>
      <c r="G215" s="25"/>
      <c r="H215" s="30"/>
      <c r="I215" s="30"/>
      <c r="J215" s="30"/>
      <c r="K215" s="30"/>
      <c r="L215" s="30"/>
      <c r="M215" s="30"/>
      <c r="N215" s="30"/>
      <c r="O215" s="30"/>
      <c r="P215" s="30"/>
      <c r="Q215" s="30">
        <v>0</v>
      </c>
      <c r="R215" s="85">
        <v>0</v>
      </c>
      <c r="S215" s="25"/>
      <c r="T215" s="79"/>
      <c r="U215" s="86"/>
      <c r="V215" s="5"/>
    </row>
    <row r="216" spans="1:22" x14ac:dyDescent="0.35">
      <c r="A216" s="84"/>
      <c r="B216" s="76" t="s">
        <v>152</v>
      </c>
      <c r="C216" s="54"/>
      <c r="D216" s="54"/>
      <c r="E216" s="54"/>
      <c r="F216" s="25"/>
      <c r="G216" s="25"/>
      <c r="H216" s="30"/>
      <c r="I216" s="30"/>
      <c r="J216" s="30"/>
      <c r="K216" s="30"/>
      <c r="L216" s="30"/>
      <c r="M216" s="30"/>
      <c r="N216" s="30"/>
      <c r="O216" s="30"/>
      <c r="P216" s="30"/>
      <c r="Q216" s="153">
        <f>+P256</f>
        <v>60</v>
      </c>
      <c r="R216" s="85">
        <f>+R256</f>
        <v>8882</v>
      </c>
      <c r="S216" s="25"/>
      <c r="T216" s="79"/>
      <c r="U216" s="86"/>
      <c r="V216" s="5"/>
    </row>
    <row r="217" spans="1:22" x14ac:dyDescent="0.35">
      <c r="A217" s="84"/>
      <c r="B217" s="76" t="s">
        <v>83</v>
      </c>
      <c r="C217" s="54"/>
      <c r="D217" s="54"/>
      <c r="E217" s="54"/>
      <c r="F217" s="25"/>
      <c r="G217" s="25"/>
      <c r="H217" s="30"/>
      <c r="I217" s="30"/>
      <c r="J217" s="30"/>
      <c r="K217" s="30"/>
      <c r="L217" s="30"/>
      <c r="M217" s="30"/>
      <c r="N217" s="30"/>
      <c r="O217" s="30"/>
      <c r="P217" s="30"/>
      <c r="Q217" s="30">
        <v>0</v>
      </c>
      <c r="R217" s="85">
        <v>0</v>
      </c>
      <c r="S217" s="25"/>
      <c r="T217" s="79"/>
      <c r="U217" s="86"/>
      <c r="V217" s="5"/>
    </row>
    <row r="218" spans="1:22" x14ac:dyDescent="0.35">
      <c r="A218" s="84"/>
      <c r="B218" s="122" t="s">
        <v>84</v>
      </c>
      <c r="C218" s="54"/>
      <c r="D218" s="54"/>
      <c r="E218" s="54"/>
      <c r="F218" s="25"/>
      <c r="G218" s="25"/>
      <c r="H218" s="25"/>
      <c r="I218" s="25"/>
      <c r="J218" s="25"/>
      <c r="K218" s="25"/>
      <c r="L218" s="25"/>
      <c r="M218" s="25"/>
      <c r="N218" s="25"/>
      <c r="O218" s="25"/>
      <c r="P218" s="25"/>
      <c r="Q218" s="25"/>
      <c r="R218" s="85">
        <v>0</v>
      </c>
      <c r="S218" s="25"/>
      <c r="T218" s="79"/>
      <c r="U218" s="86"/>
      <c r="V218" s="5"/>
    </row>
    <row r="219" spans="1:22" x14ac:dyDescent="0.35">
      <c r="A219" s="84"/>
      <c r="B219" s="122" t="s">
        <v>85</v>
      </c>
      <c r="C219" s="54"/>
      <c r="D219" s="54"/>
      <c r="E219" s="54"/>
      <c r="F219" s="25"/>
      <c r="G219" s="25"/>
      <c r="H219" s="25"/>
      <c r="I219" s="25"/>
      <c r="J219" s="25"/>
      <c r="K219" s="25"/>
      <c r="L219" s="25"/>
      <c r="M219" s="25"/>
      <c r="N219" s="25"/>
      <c r="O219" s="25"/>
      <c r="P219" s="25"/>
      <c r="Q219" s="25"/>
      <c r="R219" s="62" t="s">
        <v>114</v>
      </c>
      <c r="S219" s="25"/>
      <c r="T219" s="79"/>
      <c r="U219" s="86"/>
      <c r="V219" s="5"/>
    </row>
    <row r="220" spans="1:22" x14ac:dyDescent="0.35">
      <c r="A220" s="87"/>
      <c r="B220" s="122" t="s">
        <v>86</v>
      </c>
      <c r="C220" s="76"/>
      <c r="D220" s="76"/>
      <c r="E220" s="76"/>
      <c r="F220" s="76"/>
      <c r="G220" s="25"/>
      <c r="H220" s="25"/>
      <c r="I220" s="25"/>
      <c r="J220" s="25"/>
      <c r="K220" s="25"/>
      <c r="L220" s="25"/>
      <c r="M220" s="25"/>
      <c r="N220" s="25"/>
      <c r="O220" s="25"/>
      <c r="P220" s="25"/>
      <c r="Q220" s="25"/>
      <c r="R220" s="85"/>
      <c r="S220" s="25"/>
      <c r="T220" s="79"/>
      <c r="U220" s="88"/>
      <c r="V220" s="5"/>
    </row>
    <row r="221" spans="1:22" x14ac:dyDescent="0.35">
      <c r="A221" s="87"/>
      <c r="B221" s="132" t="s">
        <v>87</v>
      </c>
      <c r="C221" s="76"/>
      <c r="D221" s="76"/>
      <c r="E221" s="76"/>
      <c r="F221" s="76"/>
      <c r="G221" s="25"/>
      <c r="H221" s="25"/>
      <c r="I221" s="25"/>
      <c r="J221" s="25"/>
      <c r="K221" s="25"/>
      <c r="L221" s="25"/>
      <c r="M221" s="25"/>
      <c r="N221" s="25"/>
      <c r="O221" s="25"/>
      <c r="P221" s="25"/>
      <c r="Q221" s="30"/>
      <c r="R221" s="85">
        <f>+T166</f>
        <v>66</v>
      </c>
      <c r="S221" s="25"/>
      <c r="T221" s="79"/>
      <c r="U221" s="88"/>
      <c r="V221" s="5"/>
    </row>
    <row r="222" spans="1:22" x14ac:dyDescent="0.35">
      <c r="A222" s="84"/>
      <c r="B222" s="76" t="s">
        <v>88</v>
      </c>
      <c r="C222" s="54"/>
      <c r="D222" s="54"/>
      <c r="E222" s="54"/>
      <c r="F222" s="54"/>
      <c r="G222" s="25"/>
      <c r="H222" s="25"/>
      <c r="I222" s="25"/>
      <c r="J222" s="25"/>
      <c r="K222" s="25"/>
      <c r="L222" s="25"/>
      <c r="M222" s="25"/>
      <c r="N222" s="25"/>
      <c r="O222" s="25"/>
      <c r="P222" s="25"/>
      <c r="Q222" s="85"/>
      <c r="R222" s="85">
        <f>'Nov 07'!R222+R221</f>
        <v>385</v>
      </c>
      <c r="S222" s="25"/>
      <c r="T222" s="79"/>
      <c r="U222" s="88"/>
      <c r="V222" s="5"/>
    </row>
    <row r="223" spans="1:22" x14ac:dyDescent="0.35">
      <c r="A223" s="87"/>
      <c r="B223" s="122" t="s">
        <v>295</v>
      </c>
      <c r="C223" s="76"/>
      <c r="D223" s="76"/>
      <c r="E223" s="76"/>
      <c r="F223" s="76"/>
      <c r="G223" s="25"/>
      <c r="H223" s="25"/>
      <c r="I223" s="25"/>
      <c r="J223" s="25"/>
      <c r="K223" s="25"/>
      <c r="L223" s="25"/>
      <c r="M223" s="25"/>
      <c r="N223" s="25"/>
      <c r="O223" s="25"/>
      <c r="P223" s="25"/>
      <c r="Q223" s="30"/>
      <c r="R223" s="85"/>
      <c r="S223" s="25"/>
      <c r="T223" s="79"/>
      <c r="U223" s="88"/>
      <c r="V223" s="5"/>
    </row>
    <row r="224" spans="1:22" x14ac:dyDescent="0.35">
      <c r="A224" s="87"/>
      <c r="B224" s="76" t="s">
        <v>292</v>
      </c>
      <c r="C224" s="76"/>
      <c r="D224" s="76"/>
      <c r="E224" s="76"/>
      <c r="F224" s="76"/>
      <c r="G224" s="25"/>
      <c r="H224" s="25"/>
      <c r="I224" s="25"/>
      <c r="J224" s="25"/>
      <c r="K224" s="25"/>
      <c r="L224" s="25"/>
      <c r="M224" s="25"/>
      <c r="N224" s="25"/>
      <c r="O224" s="25"/>
      <c r="P224" s="25"/>
      <c r="Q224" s="30">
        <v>0</v>
      </c>
      <c r="R224" s="85">
        <v>0</v>
      </c>
      <c r="S224" s="25"/>
      <c r="T224" s="79"/>
      <c r="U224" s="88"/>
      <c r="V224" s="5"/>
    </row>
    <row r="225" spans="1:23" x14ac:dyDescent="0.35">
      <c r="A225" s="84"/>
      <c r="B225" s="76" t="s">
        <v>90</v>
      </c>
      <c r="C225" s="89"/>
      <c r="D225" s="89"/>
      <c r="E225" s="89"/>
      <c r="F225" s="90"/>
      <c r="G225" s="25"/>
      <c r="H225" s="25"/>
      <c r="I225" s="25"/>
      <c r="J225" s="25"/>
      <c r="K225" s="25"/>
      <c r="L225" s="25"/>
      <c r="M225" s="25"/>
      <c r="N225" s="25"/>
      <c r="O225" s="25"/>
      <c r="P225" s="25"/>
      <c r="Q225" s="25"/>
      <c r="R225" s="62">
        <v>0</v>
      </c>
      <c r="S225" s="25"/>
      <c r="T225" s="79"/>
      <c r="U225" s="88"/>
      <c r="V225" s="5"/>
    </row>
    <row r="226" spans="1:23" x14ac:dyDescent="0.35">
      <c r="A226" s="84"/>
      <c r="B226" s="76" t="s">
        <v>91</v>
      </c>
      <c r="C226" s="89"/>
      <c r="D226" s="89"/>
      <c r="E226" s="89"/>
      <c r="F226" s="90"/>
      <c r="G226" s="25"/>
      <c r="H226" s="25"/>
      <c r="I226" s="25"/>
      <c r="J226" s="25"/>
      <c r="K226" s="25"/>
      <c r="L226" s="25"/>
      <c r="M226" s="25"/>
      <c r="N226" s="25"/>
      <c r="O226" s="25"/>
      <c r="P226" s="25"/>
      <c r="Q226" s="25"/>
      <c r="R226" s="62">
        <v>0</v>
      </c>
      <c r="S226" s="25"/>
      <c r="T226" s="79"/>
      <c r="U226" s="88"/>
      <c r="V226" s="5"/>
    </row>
    <row r="227" spans="1:23" x14ac:dyDescent="0.35">
      <c r="A227" s="84"/>
      <c r="B227" s="122" t="s">
        <v>260</v>
      </c>
      <c r="C227" s="89"/>
      <c r="D227" s="89"/>
      <c r="E227" s="89"/>
      <c r="F227" s="90"/>
      <c r="G227" s="25"/>
      <c r="H227" s="25"/>
      <c r="I227" s="25"/>
      <c r="J227" s="25"/>
      <c r="K227" s="25"/>
      <c r="L227" s="25"/>
      <c r="M227" s="25"/>
      <c r="N227" s="25"/>
      <c r="O227" s="25"/>
      <c r="P227" s="25"/>
      <c r="Q227" s="25"/>
      <c r="R227" s="91"/>
      <c r="S227" s="25"/>
      <c r="T227" s="79"/>
      <c r="U227" s="88"/>
      <c r="V227" s="5"/>
    </row>
    <row r="228" spans="1:23" x14ac:dyDescent="0.35">
      <c r="A228" s="84"/>
      <c r="B228" s="76" t="s">
        <v>292</v>
      </c>
      <c r="C228" s="89"/>
      <c r="D228" s="89"/>
      <c r="E228" s="89"/>
      <c r="F228" s="90"/>
      <c r="G228" s="25"/>
      <c r="H228" s="25"/>
      <c r="I228" s="25"/>
      <c r="J228" s="25"/>
      <c r="K228" s="25"/>
      <c r="L228" s="25"/>
      <c r="M228" s="25"/>
      <c r="N228" s="25"/>
      <c r="O228" s="25"/>
      <c r="P228" s="25"/>
      <c r="Q228" s="30">
        <v>2</v>
      </c>
      <c r="R228" s="85">
        <v>420</v>
      </c>
      <c r="S228" s="25"/>
      <c r="T228" s="79"/>
      <c r="U228" s="88"/>
      <c r="V228" s="5"/>
    </row>
    <row r="229" spans="1:23" x14ac:dyDescent="0.35">
      <c r="A229" s="84"/>
      <c r="B229" s="76" t="s">
        <v>261</v>
      </c>
      <c r="C229" s="89"/>
      <c r="D229" s="89"/>
      <c r="E229" s="89"/>
      <c r="F229" s="90"/>
      <c r="G229" s="25"/>
      <c r="H229" s="25"/>
      <c r="I229" s="25"/>
      <c r="J229" s="25"/>
      <c r="K229" s="25"/>
      <c r="L229" s="25"/>
      <c r="M229" s="25"/>
      <c r="N229" s="25"/>
      <c r="O229" s="25"/>
      <c r="P229" s="25"/>
      <c r="Q229" s="25"/>
      <c r="R229" s="62">
        <v>9.5299999999999994</v>
      </c>
      <c r="S229" s="25"/>
      <c r="T229" s="79"/>
      <c r="U229" s="88"/>
      <c r="V229" s="5"/>
    </row>
    <row r="230" spans="1:23" x14ac:dyDescent="0.35">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x14ac:dyDescent="0.35">
      <c r="A231" s="84"/>
      <c r="B231" s="76"/>
      <c r="C231" s="89"/>
      <c r="D231" s="89"/>
      <c r="E231" s="89"/>
      <c r="F231" s="90"/>
      <c r="G231" s="25"/>
      <c r="H231" s="25"/>
      <c r="I231" s="25"/>
      <c r="J231" s="25"/>
      <c r="K231" s="25"/>
      <c r="L231" s="25"/>
      <c r="M231" s="25"/>
      <c r="N231" s="25"/>
      <c r="O231" s="25"/>
      <c r="P231" s="25"/>
      <c r="Q231" s="25"/>
      <c r="R231" s="91"/>
      <c r="S231" s="25"/>
      <c r="T231" s="79"/>
      <c r="U231" s="88"/>
      <c r="V231" s="5"/>
    </row>
    <row r="232" spans="1:23" ht="17.5" x14ac:dyDescent="0.35">
      <c r="A232" s="84"/>
      <c r="B232" s="150" t="s">
        <v>178</v>
      </c>
      <c r="C232" s="89"/>
      <c r="D232" s="89"/>
      <c r="E232" s="89"/>
      <c r="F232" s="90"/>
      <c r="G232" s="25"/>
      <c r="H232" s="25"/>
      <c r="I232" s="25"/>
      <c r="J232" s="25"/>
      <c r="K232" s="25"/>
      <c r="L232" s="25"/>
      <c r="M232" s="25"/>
      <c r="N232" s="151" t="s">
        <v>177</v>
      </c>
      <c r="O232" s="25"/>
      <c r="P232" s="25"/>
      <c r="Q232" s="25"/>
      <c r="R232" s="91"/>
      <c r="S232" s="25"/>
      <c r="T232" s="79"/>
      <c r="U232" s="88"/>
      <c r="V232" s="5"/>
    </row>
    <row r="233" spans="1:23" x14ac:dyDescent="0.35">
      <c r="A233" s="84"/>
      <c r="B233" s="76"/>
      <c r="C233" s="89"/>
      <c r="D233" s="89"/>
      <c r="E233" s="89"/>
      <c r="F233" s="90"/>
      <c r="G233" s="25"/>
      <c r="H233" s="25"/>
      <c r="I233" s="25"/>
      <c r="J233" s="25"/>
      <c r="K233" s="25"/>
      <c r="L233" s="25"/>
      <c r="M233" s="25"/>
      <c r="N233" s="25"/>
      <c r="O233" s="25"/>
      <c r="P233" s="25"/>
      <c r="Q233" s="25"/>
      <c r="R233" s="91"/>
      <c r="S233" s="25"/>
      <c r="T233" s="79"/>
      <c r="U233" s="88"/>
      <c r="V233" s="5"/>
    </row>
    <row r="234" spans="1:23" x14ac:dyDescent="0.35">
      <c r="A234" s="6"/>
      <c r="B234" s="14" t="s">
        <v>171</v>
      </c>
      <c r="C234" s="81"/>
      <c r="D234" s="81"/>
      <c r="E234" s="81"/>
      <c r="F234" s="82"/>
      <c r="G234" s="81"/>
      <c r="H234" s="17"/>
      <c r="I234" s="17"/>
      <c r="J234" s="17"/>
      <c r="K234" s="17"/>
      <c r="L234" s="17"/>
      <c r="M234" s="17"/>
      <c r="N234" s="17"/>
      <c r="O234" s="17"/>
      <c r="P234" s="83" t="s">
        <v>106</v>
      </c>
      <c r="Q234" s="17" t="s">
        <v>107</v>
      </c>
      <c r="R234" s="83" t="s">
        <v>115</v>
      </c>
      <c r="S234" s="17" t="s">
        <v>107</v>
      </c>
      <c r="T234" s="8"/>
      <c r="U234" s="92"/>
      <c r="V234" s="5"/>
    </row>
    <row r="235" spans="1:23" x14ac:dyDescent="0.35">
      <c r="A235" s="24"/>
      <c r="B235" s="54" t="s">
        <v>92</v>
      </c>
      <c r="C235" s="93"/>
      <c r="D235" s="93"/>
      <c r="E235" s="93"/>
      <c r="F235" s="25"/>
      <c r="G235" s="93"/>
      <c r="H235" s="93"/>
      <c r="I235" s="93"/>
      <c r="J235" s="93"/>
      <c r="K235" s="93"/>
      <c r="L235" s="93"/>
      <c r="M235" s="93"/>
      <c r="N235" s="93"/>
      <c r="O235" s="93"/>
      <c r="P235" s="54">
        <v>4503</v>
      </c>
      <c r="Q235" s="94">
        <f t="shared" ref="Q235:Q242" si="1">P235/$P$244</f>
        <v>0.98275862068965514</v>
      </c>
      <c r="R235" s="53">
        <v>607912</v>
      </c>
      <c r="S235" s="133">
        <f t="shared" ref="S235:S242" si="2">R235/$R$244</f>
        <v>0.98343131323262489</v>
      </c>
      <c r="T235" s="79"/>
      <c r="U235" s="88"/>
      <c r="V235" s="5"/>
    </row>
    <row r="236" spans="1:23" x14ac:dyDescent="0.35">
      <c r="A236" s="24"/>
      <c r="B236" s="54" t="s">
        <v>93</v>
      </c>
      <c r="C236" s="93"/>
      <c r="D236" s="93"/>
      <c r="E236" s="93"/>
      <c r="F236" s="25"/>
      <c r="G236" s="94"/>
      <c r="H236" s="93"/>
      <c r="I236" s="93"/>
      <c r="J236" s="93"/>
      <c r="K236" s="93"/>
      <c r="L236" s="93"/>
      <c r="M236" s="93"/>
      <c r="N236" s="93"/>
      <c r="O236" s="93"/>
      <c r="P236" s="54">
        <v>45</v>
      </c>
      <c r="Q236" s="94">
        <f t="shared" si="1"/>
        <v>9.8210388476647759E-3</v>
      </c>
      <c r="R236" s="53">
        <v>5955</v>
      </c>
      <c r="S236" s="133">
        <f t="shared" si="2"/>
        <v>9.6335217437725877E-3</v>
      </c>
      <c r="T236" s="79"/>
      <c r="U236" s="88"/>
      <c r="V236" s="5"/>
      <c r="W236" s="109"/>
    </row>
    <row r="237" spans="1:23" x14ac:dyDescent="0.35">
      <c r="A237" s="24"/>
      <c r="B237" s="54" t="s">
        <v>94</v>
      </c>
      <c r="C237" s="93"/>
      <c r="D237" s="93"/>
      <c r="E237" s="93"/>
      <c r="F237" s="25"/>
      <c r="G237" s="94"/>
      <c r="H237" s="93"/>
      <c r="I237" s="93"/>
      <c r="J237" s="93"/>
      <c r="K237" s="93"/>
      <c r="L237" s="93"/>
      <c r="M237" s="93"/>
      <c r="N237" s="93"/>
      <c r="O237" s="93"/>
      <c r="P237" s="54">
        <v>32</v>
      </c>
      <c r="Q237" s="94">
        <f t="shared" si="1"/>
        <v>6.9838498472282844E-3</v>
      </c>
      <c r="R237" s="53">
        <v>3947</v>
      </c>
      <c r="S237" s="133">
        <f t="shared" si="2"/>
        <v>6.3851402724887322E-3</v>
      </c>
      <c r="T237" s="79"/>
      <c r="U237" s="88"/>
      <c r="V237" s="5"/>
    </row>
    <row r="238" spans="1:23" x14ac:dyDescent="0.35">
      <c r="A238" s="24"/>
      <c r="B238" s="54" t="s">
        <v>164</v>
      </c>
      <c r="C238" s="93"/>
      <c r="D238" s="93"/>
      <c r="E238" s="93"/>
      <c r="F238" s="25"/>
      <c r="G238" s="94"/>
      <c r="H238" s="93"/>
      <c r="I238" s="93"/>
      <c r="J238" s="93"/>
      <c r="K238" s="93"/>
      <c r="L238" s="93"/>
      <c r="M238" s="93"/>
      <c r="N238" s="93"/>
      <c r="O238" s="93"/>
      <c r="P238" s="54">
        <v>0</v>
      </c>
      <c r="Q238" s="94">
        <f t="shared" si="1"/>
        <v>0</v>
      </c>
      <c r="R238" s="53">
        <v>0</v>
      </c>
      <c r="S238" s="133">
        <f t="shared" si="2"/>
        <v>0</v>
      </c>
      <c r="T238" s="79"/>
      <c r="U238" s="88"/>
      <c r="V238" s="5"/>
      <c r="W238" s="109"/>
    </row>
    <row r="239" spans="1:23" x14ac:dyDescent="0.35">
      <c r="A239" s="24"/>
      <c r="B239" s="54" t="s">
        <v>165</v>
      </c>
      <c r="C239" s="93"/>
      <c r="D239" s="93"/>
      <c r="E239" s="93"/>
      <c r="F239" s="25"/>
      <c r="G239" s="94"/>
      <c r="H239" s="93"/>
      <c r="I239" s="93"/>
      <c r="J239" s="93"/>
      <c r="K239" s="93"/>
      <c r="L239" s="93"/>
      <c r="M239" s="93"/>
      <c r="N239" s="93"/>
      <c r="O239" s="93"/>
      <c r="P239" s="54">
        <v>2</v>
      </c>
      <c r="Q239" s="94">
        <f t="shared" si="1"/>
        <v>4.3649061545176777E-4</v>
      </c>
      <c r="R239" s="53">
        <v>340</v>
      </c>
      <c r="S239" s="133">
        <f t="shared" si="2"/>
        <v>5.5002475111380015E-4</v>
      </c>
      <c r="T239" s="79"/>
      <c r="U239" s="88"/>
      <c r="V239" s="5"/>
    </row>
    <row r="240" spans="1:23" x14ac:dyDescent="0.35">
      <c r="A240" s="24"/>
      <c r="B240" s="54" t="s">
        <v>166</v>
      </c>
      <c r="C240" s="93"/>
      <c r="D240" s="93"/>
      <c r="E240" s="93"/>
      <c r="F240" s="25"/>
      <c r="G240" s="94"/>
      <c r="H240" s="93"/>
      <c r="I240" s="93"/>
      <c r="J240" s="93"/>
      <c r="K240" s="93"/>
      <c r="L240" s="93"/>
      <c r="M240" s="93"/>
      <c r="N240" s="93"/>
      <c r="O240" s="93"/>
      <c r="P240" s="54">
        <v>0</v>
      </c>
      <c r="Q240" s="94">
        <f t="shared" si="1"/>
        <v>0</v>
      </c>
      <c r="R240" s="53">
        <v>0</v>
      </c>
      <c r="S240" s="133">
        <f t="shared" si="2"/>
        <v>0</v>
      </c>
      <c r="T240" s="79"/>
      <c r="U240" s="88"/>
      <c r="V240" s="5"/>
      <c r="W240" s="109"/>
    </row>
    <row r="241" spans="1:23" x14ac:dyDescent="0.35">
      <c r="A241" s="24"/>
      <c r="B241" s="54" t="s">
        <v>167</v>
      </c>
      <c r="C241" s="93"/>
      <c r="D241" s="93"/>
      <c r="E241" s="93"/>
      <c r="F241" s="25"/>
      <c r="G241" s="94"/>
      <c r="H241" s="93"/>
      <c r="I241" s="93"/>
      <c r="J241" s="93"/>
      <c r="K241" s="93"/>
      <c r="L241" s="93"/>
      <c r="M241" s="93"/>
      <c r="N241" s="93"/>
      <c r="O241" s="93"/>
      <c r="P241" s="54">
        <v>0</v>
      </c>
      <c r="Q241" s="94">
        <f t="shared" si="1"/>
        <v>0</v>
      </c>
      <c r="R241" s="53">
        <v>0</v>
      </c>
      <c r="S241" s="133">
        <f t="shared" si="2"/>
        <v>0</v>
      </c>
      <c r="T241" s="79"/>
      <c r="U241" s="88"/>
      <c r="V241" s="5"/>
    </row>
    <row r="242" spans="1:23" x14ac:dyDescent="0.35">
      <c r="A242" s="24"/>
      <c r="B242" s="54" t="s">
        <v>168</v>
      </c>
      <c r="C242" s="93"/>
      <c r="D242" s="93"/>
      <c r="E242" s="93"/>
      <c r="F242" s="25"/>
      <c r="G242" s="94"/>
      <c r="H242" s="93"/>
      <c r="I242" s="93"/>
      <c r="J242" s="93"/>
      <c r="K242" s="93"/>
      <c r="L242" s="93"/>
      <c r="M242" s="93"/>
      <c r="N242" s="93"/>
      <c r="O242" s="93"/>
      <c r="P242" s="54">
        <v>0</v>
      </c>
      <c r="Q242" s="94">
        <f t="shared" si="1"/>
        <v>0</v>
      </c>
      <c r="R242" s="53">
        <v>0</v>
      </c>
      <c r="S242" s="133">
        <f t="shared" si="2"/>
        <v>0</v>
      </c>
      <c r="T242" s="79"/>
      <c r="U242" s="88"/>
      <c r="V242" s="5"/>
      <c r="W242" s="109"/>
    </row>
    <row r="243" spans="1:23" x14ac:dyDescent="0.35">
      <c r="A243" s="24"/>
      <c r="B243" s="54"/>
      <c r="C243" s="93"/>
      <c r="D243" s="93"/>
      <c r="E243" s="93"/>
      <c r="F243" s="25"/>
      <c r="G243" s="94"/>
      <c r="H243" s="93"/>
      <c r="I243" s="93"/>
      <c r="J243" s="93"/>
      <c r="K243" s="93"/>
      <c r="L243" s="93"/>
      <c r="M243" s="93"/>
      <c r="N243" s="93"/>
      <c r="O243" s="93"/>
      <c r="P243" s="54"/>
      <c r="Q243" s="94"/>
      <c r="R243" s="53"/>
      <c r="S243" s="133"/>
      <c r="T243" s="79"/>
      <c r="U243" s="88"/>
      <c r="V243" s="5"/>
    </row>
    <row r="244" spans="1:23" x14ac:dyDescent="0.35">
      <c r="A244" s="24"/>
      <c r="B244" s="25"/>
      <c r="C244" s="25"/>
      <c r="D244" s="25"/>
      <c r="E244" s="25"/>
      <c r="F244" s="25"/>
      <c r="G244" s="25"/>
      <c r="H244" s="95"/>
      <c r="I244" s="95"/>
      <c r="J244" s="95"/>
      <c r="K244" s="95"/>
      <c r="L244" s="95"/>
      <c r="M244" s="95"/>
      <c r="N244" s="95"/>
      <c r="O244" s="95"/>
      <c r="P244" s="34">
        <f>SUM(P235:P243)</f>
        <v>4582</v>
      </c>
      <c r="Q244" s="133">
        <f>SUM(Q235:Q243)</f>
        <v>1</v>
      </c>
      <c r="R244" s="53">
        <f>SUM(R235:R243)</f>
        <v>618154</v>
      </c>
      <c r="S244" s="133">
        <f>SUM(S235:S243)</f>
        <v>1</v>
      </c>
      <c r="T244" s="25"/>
      <c r="U244" s="25"/>
      <c r="V244" s="5"/>
    </row>
    <row r="245" spans="1:23" x14ac:dyDescent="0.35">
      <c r="A245" s="24"/>
      <c r="B245" s="25"/>
      <c r="C245" s="25"/>
      <c r="D245" s="25"/>
      <c r="E245" s="25"/>
      <c r="F245" s="25"/>
      <c r="G245" s="25"/>
      <c r="H245" s="95"/>
      <c r="I245" s="95"/>
      <c r="J245" s="95"/>
      <c r="K245" s="95"/>
      <c r="L245" s="95"/>
      <c r="M245" s="95"/>
      <c r="N245" s="95"/>
      <c r="O245" s="95"/>
      <c r="P245" s="34"/>
      <c r="Q245" s="133"/>
      <c r="R245" s="53"/>
      <c r="S245" s="133"/>
      <c r="T245" s="25"/>
      <c r="U245" s="25"/>
      <c r="V245" s="5"/>
    </row>
    <row r="246" spans="1:23" x14ac:dyDescent="0.35">
      <c r="A246" s="142"/>
      <c r="B246" s="14" t="s">
        <v>275</v>
      </c>
      <c r="C246" s="81"/>
      <c r="D246" s="81"/>
      <c r="E246" s="81"/>
      <c r="F246" s="82"/>
      <c r="G246" s="81"/>
      <c r="H246" s="17"/>
      <c r="I246" s="17"/>
      <c r="J246" s="17"/>
      <c r="K246" s="17"/>
      <c r="L246" s="17"/>
      <c r="M246" s="17"/>
      <c r="N246" s="17"/>
      <c r="O246" s="17"/>
      <c r="P246" s="83" t="s">
        <v>106</v>
      </c>
      <c r="Q246" s="17" t="s">
        <v>107</v>
      </c>
      <c r="R246" s="83" t="s">
        <v>115</v>
      </c>
      <c r="S246" s="17" t="s">
        <v>107</v>
      </c>
      <c r="T246" s="140"/>
      <c r="U246" s="141"/>
      <c r="V246" s="5"/>
    </row>
    <row r="247" spans="1:23" x14ac:dyDescent="0.35">
      <c r="A247" s="24"/>
      <c r="B247" s="54" t="s">
        <v>92</v>
      </c>
      <c r="C247" s="93"/>
      <c r="D247" s="93"/>
      <c r="E247" s="93"/>
      <c r="F247" s="25"/>
      <c r="G247" s="93"/>
      <c r="H247" s="93"/>
      <c r="I247" s="93"/>
      <c r="J247" s="93"/>
      <c r="K247" s="93"/>
      <c r="L247" s="93"/>
      <c r="M247" s="93"/>
      <c r="N247" s="93"/>
      <c r="O247" s="93"/>
      <c r="P247" s="54">
        <v>11</v>
      </c>
      <c r="Q247" s="94">
        <f t="shared" ref="Q247:Q254" si="3">P247/$P$256</f>
        <v>0.18333333333333332</v>
      </c>
      <c r="R247" s="53">
        <v>1213</v>
      </c>
      <c r="S247" s="133">
        <f t="shared" ref="S247:S254" si="4">R247/$R$256</f>
        <v>0.13656834046385949</v>
      </c>
      <c r="T247" s="25"/>
      <c r="U247" s="25"/>
      <c r="V247" s="5"/>
    </row>
    <row r="248" spans="1:23" x14ac:dyDescent="0.35">
      <c r="A248" s="24"/>
      <c r="B248" s="54" t="s">
        <v>93</v>
      </c>
      <c r="C248" s="93"/>
      <c r="D248" s="93"/>
      <c r="E248" s="93"/>
      <c r="F248" s="25"/>
      <c r="G248" s="94"/>
      <c r="H248" s="93"/>
      <c r="I248" s="93"/>
      <c r="J248" s="93"/>
      <c r="K248" s="93"/>
      <c r="L248" s="93"/>
      <c r="M248" s="93"/>
      <c r="N248" s="93"/>
      <c r="O248" s="93"/>
      <c r="P248" s="54">
        <v>7</v>
      </c>
      <c r="Q248" s="94">
        <f t="shared" si="3"/>
        <v>0.11666666666666667</v>
      </c>
      <c r="R248" s="53">
        <v>823</v>
      </c>
      <c r="S248" s="133">
        <f t="shared" si="4"/>
        <v>9.2659310965998651E-2</v>
      </c>
      <c r="T248" s="25"/>
      <c r="U248" s="25"/>
      <c r="V248" s="5"/>
    </row>
    <row r="249" spans="1:23" x14ac:dyDescent="0.35">
      <c r="A249" s="24"/>
      <c r="B249" s="54" t="s">
        <v>94</v>
      </c>
      <c r="C249" s="93"/>
      <c r="D249" s="93"/>
      <c r="E249" s="93"/>
      <c r="F249" s="25"/>
      <c r="G249" s="94"/>
      <c r="H249" s="93"/>
      <c r="I249" s="93"/>
      <c r="J249" s="93"/>
      <c r="K249" s="93"/>
      <c r="L249" s="93"/>
      <c r="M249" s="93"/>
      <c r="N249" s="93"/>
      <c r="O249" s="93"/>
      <c r="P249" s="54">
        <v>3</v>
      </c>
      <c r="Q249" s="94">
        <f t="shared" si="3"/>
        <v>0.05</v>
      </c>
      <c r="R249" s="53">
        <v>307</v>
      </c>
      <c r="S249" s="133">
        <f t="shared" si="4"/>
        <v>3.4564287322675073E-2</v>
      </c>
      <c r="T249" s="25"/>
      <c r="U249" s="25"/>
      <c r="V249" s="5"/>
    </row>
    <row r="250" spans="1:23" x14ac:dyDescent="0.35">
      <c r="A250" s="24"/>
      <c r="B250" s="54" t="s">
        <v>164</v>
      </c>
      <c r="C250" s="93"/>
      <c r="D250" s="93"/>
      <c r="E250" s="93"/>
      <c r="F250" s="25"/>
      <c r="G250" s="94"/>
      <c r="H250" s="93"/>
      <c r="I250" s="93"/>
      <c r="J250" s="93"/>
      <c r="K250" s="93"/>
      <c r="L250" s="93"/>
      <c r="M250" s="93"/>
      <c r="N250" s="93"/>
      <c r="O250" s="93"/>
      <c r="P250" s="54">
        <v>6</v>
      </c>
      <c r="Q250" s="94">
        <f t="shared" si="3"/>
        <v>0.1</v>
      </c>
      <c r="R250" s="53">
        <v>673</v>
      </c>
      <c r="S250" s="133">
        <f t="shared" si="4"/>
        <v>7.5771222697590637E-2</v>
      </c>
      <c r="T250" s="25"/>
      <c r="U250" s="25"/>
      <c r="V250" s="5"/>
    </row>
    <row r="251" spans="1:23" x14ac:dyDescent="0.35">
      <c r="A251" s="24"/>
      <c r="B251" s="54" t="s">
        <v>165</v>
      </c>
      <c r="C251" s="93"/>
      <c r="D251" s="93"/>
      <c r="E251" s="93"/>
      <c r="F251" s="25"/>
      <c r="G251" s="94"/>
      <c r="H251" s="93"/>
      <c r="I251" s="93"/>
      <c r="J251" s="93"/>
      <c r="K251" s="93"/>
      <c r="L251" s="93"/>
      <c r="M251" s="93"/>
      <c r="N251" s="93"/>
      <c r="O251" s="93"/>
      <c r="P251" s="54">
        <v>8</v>
      </c>
      <c r="Q251" s="94">
        <f t="shared" si="3"/>
        <v>0.13333333333333333</v>
      </c>
      <c r="R251" s="53">
        <v>1181</v>
      </c>
      <c r="S251" s="133">
        <f t="shared" si="4"/>
        <v>0.13296554829993246</v>
      </c>
      <c r="T251" s="25"/>
      <c r="U251" s="25"/>
      <c r="V251" s="5"/>
    </row>
    <row r="252" spans="1:23" x14ac:dyDescent="0.35">
      <c r="A252" s="24"/>
      <c r="B252" s="54" t="s">
        <v>166</v>
      </c>
      <c r="C252" s="93"/>
      <c r="D252" s="93"/>
      <c r="E252" s="93"/>
      <c r="F252" s="25"/>
      <c r="G252" s="94"/>
      <c r="H252" s="93"/>
      <c r="I252" s="93"/>
      <c r="J252" s="93"/>
      <c r="K252" s="93"/>
      <c r="L252" s="93"/>
      <c r="M252" s="93"/>
      <c r="N252" s="93"/>
      <c r="O252" s="93"/>
      <c r="P252" s="54">
        <v>4</v>
      </c>
      <c r="Q252" s="94">
        <f t="shared" si="3"/>
        <v>6.6666666666666666E-2</v>
      </c>
      <c r="R252" s="53">
        <v>723</v>
      </c>
      <c r="S252" s="133">
        <f t="shared" si="4"/>
        <v>8.1400585453726637E-2</v>
      </c>
      <c r="T252" s="25"/>
      <c r="U252" s="25"/>
      <c r="V252" s="5"/>
    </row>
    <row r="253" spans="1:23" x14ac:dyDescent="0.35">
      <c r="A253" s="24"/>
      <c r="B253" s="54" t="s">
        <v>167</v>
      </c>
      <c r="C253" s="93"/>
      <c r="D253" s="93"/>
      <c r="E253" s="93"/>
      <c r="F253" s="25"/>
      <c r="G253" s="94"/>
      <c r="H253" s="93"/>
      <c r="I253" s="93"/>
      <c r="J253" s="93"/>
      <c r="K253" s="93"/>
      <c r="L253" s="93"/>
      <c r="M253" s="93"/>
      <c r="N253" s="93"/>
      <c r="O253" s="93"/>
      <c r="P253" s="54">
        <v>11</v>
      </c>
      <c r="Q253" s="94">
        <f t="shared" si="3"/>
        <v>0.18333333333333332</v>
      </c>
      <c r="R253" s="53">
        <v>2080</v>
      </c>
      <c r="S253" s="133">
        <f t="shared" si="4"/>
        <v>0.23418149065525781</v>
      </c>
      <c r="T253" s="25"/>
      <c r="U253" s="25"/>
      <c r="V253" s="5"/>
    </row>
    <row r="254" spans="1:23" x14ac:dyDescent="0.35">
      <c r="A254" s="24"/>
      <c r="B254" s="54" t="s">
        <v>168</v>
      </c>
      <c r="C254" s="93"/>
      <c r="D254" s="93"/>
      <c r="E254" s="93"/>
      <c r="F254" s="25"/>
      <c r="G254" s="94"/>
      <c r="H254" s="93"/>
      <c r="I254" s="93"/>
      <c r="J254" s="93"/>
      <c r="K254" s="93"/>
      <c r="L254" s="93"/>
      <c r="M254" s="93"/>
      <c r="N254" s="93"/>
      <c r="O254" s="93"/>
      <c r="P254" s="54">
        <v>10</v>
      </c>
      <c r="Q254" s="94">
        <f t="shared" si="3"/>
        <v>0.16666666666666666</v>
      </c>
      <c r="R254" s="53">
        <v>1882</v>
      </c>
      <c r="S254" s="133">
        <f t="shared" si="4"/>
        <v>0.21188921414095924</v>
      </c>
      <c r="T254" s="25"/>
      <c r="U254" s="25"/>
      <c r="V254" s="5"/>
    </row>
    <row r="255" spans="1:23" x14ac:dyDescent="0.35">
      <c r="A255" s="24"/>
      <c r="B255" s="54"/>
      <c r="C255" s="93"/>
      <c r="D255" s="93"/>
      <c r="E255" s="93"/>
      <c r="F255" s="25"/>
      <c r="G255" s="94"/>
      <c r="H255" s="93"/>
      <c r="I255" s="93"/>
      <c r="J255" s="93"/>
      <c r="K255" s="93"/>
      <c r="L255" s="93"/>
      <c r="M255" s="93"/>
      <c r="N255" s="93"/>
      <c r="O255" s="93"/>
      <c r="P255" s="54"/>
      <c r="Q255" s="94"/>
      <c r="R255" s="53"/>
      <c r="S255" s="133"/>
      <c r="T255" s="25"/>
      <c r="U255" s="25"/>
      <c r="V255" s="5"/>
    </row>
    <row r="256" spans="1:23" x14ac:dyDescent="0.35">
      <c r="A256" s="24"/>
      <c r="B256" s="25"/>
      <c r="C256" s="25"/>
      <c r="D256" s="25"/>
      <c r="E256" s="25"/>
      <c r="F256" s="25"/>
      <c r="G256" s="25"/>
      <c r="H256" s="95"/>
      <c r="I256" s="95"/>
      <c r="J256" s="95"/>
      <c r="K256" s="95"/>
      <c r="L256" s="95"/>
      <c r="M256" s="95"/>
      <c r="N256" s="95"/>
      <c r="O256" s="95"/>
      <c r="P256" s="34">
        <f>SUM(P247:P255)</f>
        <v>60</v>
      </c>
      <c r="Q256" s="133">
        <f>SUM(Q247:Q255)</f>
        <v>0.99999999999999989</v>
      </c>
      <c r="R256" s="53">
        <f>SUM(R247:R255)</f>
        <v>8882</v>
      </c>
      <c r="S256" s="133">
        <f>SUM(S247:S255)</f>
        <v>1</v>
      </c>
      <c r="T256" s="25"/>
      <c r="U256" s="25"/>
      <c r="V256" s="5"/>
    </row>
    <row r="257" spans="1:22" x14ac:dyDescent="0.35">
      <c r="A257" s="24"/>
      <c r="B257" s="25"/>
      <c r="C257" s="25"/>
      <c r="D257" s="25"/>
      <c r="E257" s="25"/>
      <c r="F257" s="25"/>
      <c r="G257" s="25"/>
      <c r="H257" s="95"/>
      <c r="I257" s="95"/>
      <c r="J257" s="95"/>
      <c r="K257" s="95"/>
      <c r="L257" s="95"/>
      <c r="M257" s="95"/>
      <c r="N257" s="95"/>
      <c r="O257" s="95"/>
      <c r="P257" s="34"/>
      <c r="Q257" s="133"/>
      <c r="R257" s="53"/>
      <c r="S257" s="133"/>
      <c r="T257" s="25"/>
      <c r="U257" s="25"/>
      <c r="V257" s="5"/>
    </row>
    <row r="258" spans="1:22" x14ac:dyDescent="0.35">
      <c r="A258" s="142"/>
      <c r="B258" s="14" t="s">
        <v>173</v>
      </c>
      <c r="C258" s="140"/>
      <c r="D258" s="140"/>
      <c r="E258" s="140"/>
      <c r="F258" s="140"/>
      <c r="G258" s="140"/>
      <c r="H258" s="146"/>
      <c r="I258" s="146"/>
      <c r="J258" s="146"/>
      <c r="K258" s="146"/>
      <c r="L258" s="146"/>
      <c r="M258" s="146"/>
      <c r="N258" s="146"/>
      <c r="O258" s="146"/>
      <c r="P258" s="83" t="s">
        <v>106</v>
      </c>
      <c r="Q258" s="17" t="s">
        <v>107</v>
      </c>
      <c r="R258" s="83" t="s">
        <v>115</v>
      </c>
      <c r="S258" s="17" t="s">
        <v>107</v>
      </c>
      <c r="T258" s="140"/>
      <c r="U258" s="141"/>
      <c r="V258" s="5"/>
    </row>
    <row r="259" spans="1:22" x14ac:dyDescent="0.35">
      <c r="A259" s="24"/>
      <c r="B259" s="54" t="s">
        <v>92</v>
      </c>
      <c r="C259" s="25"/>
      <c r="D259" s="25"/>
      <c r="E259" s="25"/>
      <c r="F259" s="25"/>
      <c r="G259" s="25"/>
      <c r="H259" s="95"/>
      <c r="I259" s="95"/>
      <c r="J259" s="95"/>
      <c r="K259" s="95"/>
      <c r="L259" s="95"/>
      <c r="M259" s="95"/>
      <c r="N259" s="95"/>
      <c r="O259" s="95"/>
      <c r="P259" s="54">
        <v>0</v>
      </c>
      <c r="Q259" s="94">
        <v>0</v>
      </c>
      <c r="R259" s="53">
        <v>0</v>
      </c>
      <c r="S259" s="133">
        <v>0</v>
      </c>
      <c r="T259" s="25"/>
      <c r="U259" s="25"/>
      <c r="V259" s="5"/>
    </row>
    <row r="260" spans="1:22" x14ac:dyDescent="0.35">
      <c r="A260" s="24"/>
      <c r="B260" s="54" t="s">
        <v>93</v>
      </c>
      <c r="C260" s="25"/>
      <c r="D260" s="25"/>
      <c r="E260" s="25"/>
      <c r="F260" s="25"/>
      <c r="G260" s="25"/>
      <c r="H260" s="95"/>
      <c r="I260" s="95"/>
      <c r="J260" s="95"/>
      <c r="K260" s="95"/>
      <c r="L260" s="95"/>
      <c r="M260" s="95"/>
      <c r="N260" s="95"/>
      <c r="O260" s="95"/>
      <c r="P260" s="54">
        <v>0</v>
      </c>
      <c r="Q260" s="94">
        <v>0</v>
      </c>
      <c r="R260" s="53">
        <v>0</v>
      </c>
      <c r="S260" s="133">
        <v>0</v>
      </c>
      <c r="T260" s="25"/>
      <c r="U260" s="25"/>
      <c r="V260" s="5"/>
    </row>
    <row r="261" spans="1:22" x14ac:dyDescent="0.35">
      <c r="A261" s="24"/>
      <c r="B261" s="54" t="s">
        <v>94</v>
      </c>
      <c r="C261" s="25"/>
      <c r="D261" s="25"/>
      <c r="E261" s="25"/>
      <c r="F261" s="25"/>
      <c r="G261" s="25"/>
      <c r="H261" s="95"/>
      <c r="I261" s="95"/>
      <c r="J261" s="95"/>
      <c r="K261" s="95"/>
      <c r="L261" s="95"/>
      <c r="M261" s="95"/>
      <c r="N261" s="95"/>
      <c r="O261" s="95"/>
      <c r="P261" s="54">
        <v>0</v>
      </c>
      <c r="Q261" s="94">
        <v>0</v>
      </c>
      <c r="R261" s="53">
        <v>0</v>
      </c>
      <c r="S261" s="133">
        <v>0</v>
      </c>
      <c r="T261" s="25"/>
      <c r="U261" s="25"/>
      <c r="V261" s="5"/>
    </row>
    <row r="262" spans="1:22" x14ac:dyDescent="0.35">
      <c r="A262" s="24"/>
      <c r="B262" s="54" t="s">
        <v>164</v>
      </c>
      <c r="C262" s="25"/>
      <c r="D262" s="25"/>
      <c r="E262" s="25"/>
      <c r="F262" s="25"/>
      <c r="G262" s="25"/>
      <c r="H262" s="95"/>
      <c r="I262" s="95"/>
      <c r="J262" s="95"/>
      <c r="K262" s="95"/>
      <c r="L262" s="95"/>
      <c r="M262" s="95"/>
      <c r="N262" s="95"/>
      <c r="O262" s="95"/>
      <c r="P262" s="54">
        <v>0</v>
      </c>
      <c r="Q262" s="94">
        <v>0</v>
      </c>
      <c r="R262" s="53">
        <v>0</v>
      </c>
      <c r="S262" s="133">
        <v>0</v>
      </c>
      <c r="T262" s="25"/>
      <c r="U262" s="25"/>
      <c r="V262" s="5"/>
    </row>
    <row r="263" spans="1:22" x14ac:dyDescent="0.35">
      <c r="A263" s="24"/>
      <c r="B263" s="54" t="s">
        <v>165</v>
      </c>
      <c r="C263" s="25"/>
      <c r="D263" s="25"/>
      <c r="E263" s="25"/>
      <c r="F263" s="25"/>
      <c r="G263" s="25"/>
      <c r="H263" s="95"/>
      <c r="I263" s="95"/>
      <c r="J263" s="95"/>
      <c r="K263" s="95"/>
      <c r="L263" s="95"/>
      <c r="M263" s="95"/>
      <c r="N263" s="95"/>
      <c r="O263" s="95"/>
      <c r="P263" s="54">
        <v>0</v>
      </c>
      <c r="Q263" s="94">
        <v>0</v>
      </c>
      <c r="R263" s="53">
        <v>0</v>
      </c>
      <c r="S263" s="133">
        <v>0</v>
      </c>
      <c r="T263" s="25"/>
      <c r="U263" s="25"/>
      <c r="V263" s="5"/>
    </row>
    <row r="264" spans="1:22" x14ac:dyDescent="0.35">
      <c r="A264" s="24"/>
      <c r="B264" s="54" t="s">
        <v>166</v>
      </c>
      <c r="C264" s="25"/>
      <c r="D264" s="25"/>
      <c r="E264" s="25"/>
      <c r="F264" s="25"/>
      <c r="G264" s="25"/>
      <c r="H264" s="95"/>
      <c r="I264" s="95"/>
      <c r="J264" s="95"/>
      <c r="K264" s="95"/>
      <c r="L264" s="95"/>
      <c r="M264" s="95"/>
      <c r="N264" s="95"/>
      <c r="O264" s="95"/>
      <c r="P264" s="54">
        <v>0</v>
      </c>
      <c r="Q264" s="94">
        <v>0</v>
      </c>
      <c r="R264" s="53">
        <v>0</v>
      </c>
      <c r="S264" s="133">
        <v>0</v>
      </c>
      <c r="T264" s="25"/>
      <c r="U264" s="25"/>
      <c r="V264" s="5"/>
    </row>
    <row r="265" spans="1:22" x14ac:dyDescent="0.35">
      <c r="A265" s="24"/>
      <c r="B265" s="54" t="s">
        <v>167</v>
      </c>
      <c r="C265" s="25"/>
      <c r="D265" s="25"/>
      <c r="E265" s="25"/>
      <c r="F265" s="25"/>
      <c r="G265" s="25"/>
      <c r="H265" s="95"/>
      <c r="I265" s="95"/>
      <c r="J265" s="95"/>
      <c r="K265" s="95"/>
      <c r="L265" s="95"/>
      <c r="M265" s="95"/>
      <c r="N265" s="95"/>
      <c r="O265" s="95"/>
      <c r="P265" s="54">
        <v>0</v>
      </c>
      <c r="Q265" s="94">
        <v>0</v>
      </c>
      <c r="R265" s="53">
        <v>0</v>
      </c>
      <c r="S265" s="133">
        <v>0</v>
      </c>
      <c r="T265" s="25"/>
      <c r="U265" s="25"/>
      <c r="V265" s="5"/>
    </row>
    <row r="266" spans="1:22" x14ac:dyDescent="0.35">
      <c r="A266" s="24"/>
      <c r="B266" s="54" t="s">
        <v>168</v>
      </c>
      <c r="C266" s="25"/>
      <c r="D266" s="25"/>
      <c r="E266" s="25"/>
      <c r="F266" s="25"/>
      <c r="G266" s="25"/>
      <c r="H266" s="95"/>
      <c r="I266" s="95"/>
      <c r="J266" s="95"/>
      <c r="K266" s="95"/>
      <c r="L266" s="95"/>
      <c r="M266" s="95"/>
      <c r="N266" s="95"/>
      <c r="O266" s="95"/>
      <c r="P266" s="54">
        <v>0</v>
      </c>
      <c r="Q266" s="94">
        <v>0</v>
      </c>
      <c r="R266" s="53">
        <v>0</v>
      </c>
      <c r="S266" s="133">
        <v>0</v>
      </c>
      <c r="T266" s="25"/>
      <c r="U266" s="25"/>
      <c r="V266" s="5"/>
    </row>
    <row r="267" spans="1:22" x14ac:dyDescent="0.35">
      <c r="A267" s="24"/>
      <c r="B267" s="54"/>
      <c r="C267" s="25"/>
      <c r="D267" s="25"/>
      <c r="E267" s="25"/>
      <c r="F267" s="25"/>
      <c r="G267" s="25"/>
      <c r="H267" s="95"/>
      <c r="I267" s="95"/>
      <c r="J267" s="95"/>
      <c r="K267" s="95"/>
      <c r="L267" s="95"/>
      <c r="M267" s="95"/>
      <c r="N267" s="95"/>
      <c r="O267" s="95"/>
      <c r="P267" s="54"/>
      <c r="Q267" s="94"/>
      <c r="R267" s="53"/>
      <c r="S267" s="133"/>
      <c r="T267" s="25"/>
      <c r="U267" s="25"/>
      <c r="V267" s="5"/>
    </row>
    <row r="268" spans="1:22" x14ac:dyDescent="0.35">
      <c r="A268" s="24"/>
      <c r="B268" s="25" t="s">
        <v>121</v>
      </c>
      <c r="C268" s="25"/>
      <c r="D268" s="25"/>
      <c r="E268" s="25"/>
      <c r="F268" s="25"/>
      <c r="G268" s="25"/>
      <c r="H268" s="95"/>
      <c r="I268" s="95"/>
      <c r="J268" s="95"/>
      <c r="K268" s="95"/>
      <c r="L268" s="95"/>
      <c r="M268" s="95"/>
      <c r="N268" s="95"/>
      <c r="O268" s="95"/>
      <c r="P268" s="34">
        <f>SUM(P259:P266)</f>
        <v>0</v>
      </c>
      <c r="Q268" s="94">
        <f>SUM(Q259:Q266)</f>
        <v>0</v>
      </c>
      <c r="R268" s="53">
        <f>SUM(R259:R266)</f>
        <v>0</v>
      </c>
      <c r="S268" s="133">
        <f>SUM(S259:S266)</f>
        <v>0</v>
      </c>
      <c r="T268" s="25"/>
      <c r="U268" s="25"/>
      <c r="V268" s="5"/>
    </row>
    <row r="269" spans="1:22" x14ac:dyDescent="0.35">
      <c r="A269" s="24"/>
      <c r="B269" s="25"/>
      <c r="C269" s="25"/>
      <c r="D269" s="25"/>
      <c r="E269" s="25"/>
      <c r="F269" s="25"/>
      <c r="G269" s="25"/>
      <c r="H269" s="95"/>
      <c r="I269" s="95"/>
      <c r="J269" s="95"/>
      <c r="K269" s="95"/>
      <c r="L269" s="95"/>
      <c r="M269" s="95"/>
      <c r="N269" s="95"/>
      <c r="O269" s="95"/>
      <c r="P269" s="34"/>
      <c r="Q269" s="133"/>
      <c r="R269" s="53"/>
      <c r="S269" s="133"/>
      <c r="T269" s="25"/>
      <c r="U269" s="25"/>
      <c r="V269" s="5"/>
    </row>
    <row r="270" spans="1:22" x14ac:dyDescent="0.35">
      <c r="A270" s="24"/>
      <c r="B270" s="143" t="s">
        <v>174</v>
      </c>
      <c r="C270" s="25"/>
      <c r="D270" s="25"/>
      <c r="E270" s="25"/>
      <c r="F270" s="25"/>
      <c r="G270" s="25"/>
      <c r="H270" s="95"/>
      <c r="I270" s="95"/>
      <c r="J270" s="95"/>
      <c r="K270" s="95"/>
      <c r="L270" s="95"/>
      <c r="M270" s="95"/>
      <c r="N270" s="95"/>
      <c r="O270" s="95"/>
      <c r="P270" s="162">
        <f>P268+P256+P244</f>
        <v>4642</v>
      </c>
      <c r="Q270" s="144"/>
      <c r="R270" s="145">
        <f>+R268+R256+R244</f>
        <v>627036</v>
      </c>
      <c r="S270" s="144"/>
      <c r="T270" s="25"/>
      <c r="U270" s="25"/>
      <c r="V270" s="5"/>
    </row>
    <row r="271" spans="1:22" x14ac:dyDescent="0.35">
      <c r="A271" s="24"/>
      <c r="B271" s="25"/>
      <c r="C271" s="25"/>
      <c r="D271" s="25"/>
      <c r="E271" s="25"/>
      <c r="F271" s="25"/>
      <c r="G271" s="25"/>
      <c r="H271" s="95"/>
      <c r="I271" s="95"/>
      <c r="J271" s="95"/>
      <c r="K271" s="95"/>
      <c r="L271" s="95"/>
      <c r="M271" s="95"/>
      <c r="N271" s="95"/>
      <c r="O271" s="95"/>
      <c r="P271" s="95"/>
      <c r="Q271" s="95"/>
      <c r="R271" s="53"/>
      <c r="S271" s="95"/>
      <c r="T271" s="25"/>
      <c r="U271" s="25"/>
      <c r="V271" s="5"/>
    </row>
    <row r="272" spans="1:22" x14ac:dyDescent="0.35">
      <c r="A272" s="6"/>
      <c r="B272" s="8"/>
      <c r="C272" s="8"/>
      <c r="D272" s="8"/>
      <c r="E272" s="8"/>
      <c r="F272" s="8"/>
      <c r="G272" s="8"/>
      <c r="H272" s="96"/>
      <c r="I272" s="96"/>
      <c r="J272" s="96"/>
      <c r="K272" s="96"/>
      <c r="L272" s="96"/>
      <c r="M272" s="96"/>
      <c r="N272" s="96"/>
      <c r="O272" s="96"/>
      <c r="P272" s="96"/>
      <c r="Q272" s="96"/>
      <c r="R272" s="97"/>
      <c r="S272" s="96"/>
      <c r="T272" s="8"/>
      <c r="U272" s="8"/>
      <c r="V272" s="5"/>
    </row>
    <row r="273" spans="1:22" x14ac:dyDescent="0.35">
      <c r="A273" s="168"/>
      <c r="B273" s="14" t="s">
        <v>95</v>
      </c>
      <c r="C273" s="15"/>
      <c r="D273" s="15"/>
      <c r="E273" s="15"/>
      <c r="F273" s="17" t="s">
        <v>101</v>
      </c>
      <c r="G273" s="15"/>
      <c r="H273" s="14" t="s">
        <v>103</v>
      </c>
      <c r="I273" s="163"/>
      <c r="J273" s="163"/>
      <c r="K273" s="163"/>
      <c r="L273" s="163"/>
      <c r="M273" s="163"/>
      <c r="N273" s="163"/>
      <c r="O273" s="163"/>
      <c r="P273" s="163"/>
      <c r="Q273" s="163"/>
      <c r="R273" s="163"/>
      <c r="S273" s="163"/>
      <c r="T273" s="163"/>
      <c r="U273" s="163"/>
      <c r="V273" s="5"/>
    </row>
    <row r="274" spans="1:22" x14ac:dyDescent="0.35">
      <c r="A274" s="168"/>
      <c r="B274" s="163"/>
      <c r="C274" s="8"/>
      <c r="D274" s="8"/>
      <c r="E274" s="8"/>
      <c r="F274" s="8"/>
      <c r="G274" s="8"/>
      <c r="H274" s="8"/>
      <c r="I274" s="163"/>
      <c r="J274" s="163"/>
      <c r="K274" s="163"/>
      <c r="L274" s="163"/>
      <c r="M274" s="163"/>
      <c r="N274" s="163"/>
      <c r="O274" s="163"/>
      <c r="P274" s="163"/>
      <c r="Q274" s="163"/>
      <c r="R274" s="163"/>
      <c r="S274" s="163"/>
      <c r="T274" s="163"/>
      <c r="U274" s="163"/>
      <c r="V274" s="5"/>
    </row>
    <row r="275" spans="1:22" x14ac:dyDescent="0.35">
      <c r="A275" s="168"/>
      <c r="B275" s="13" t="s">
        <v>96</v>
      </c>
      <c r="C275" s="13"/>
      <c r="D275" s="13"/>
      <c r="E275" s="13"/>
      <c r="F275" s="131" t="s">
        <v>155</v>
      </c>
      <c r="G275" s="13"/>
      <c r="H275" s="13" t="s">
        <v>160</v>
      </c>
      <c r="I275" s="163"/>
      <c r="J275" s="163"/>
      <c r="K275" s="163"/>
      <c r="L275" s="163"/>
      <c r="M275" s="163"/>
      <c r="N275" s="163"/>
      <c r="O275" s="163"/>
      <c r="P275" s="163"/>
      <c r="Q275" s="163"/>
      <c r="R275" s="163"/>
      <c r="S275" s="163"/>
      <c r="T275" s="163"/>
      <c r="U275" s="163"/>
      <c r="V275" s="5"/>
    </row>
    <row r="276" spans="1:22" x14ac:dyDescent="0.35">
      <c r="A276" s="168"/>
      <c r="B276" s="13" t="s">
        <v>277</v>
      </c>
      <c r="C276" s="13"/>
      <c r="D276" s="13"/>
      <c r="E276" s="13"/>
      <c r="F276" s="131" t="s">
        <v>278</v>
      </c>
      <c r="G276" s="13"/>
      <c r="H276" s="13" t="s">
        <v>279</v>
      </c>
      <c r="I276" s="163"/>
      <c r="J276" s="163"/>
      <c r="K276" s="163"/>
      <c r="L276" s="163"/>
      <c r="M276" s="163"/>
      <c r="N276" s="163"/>
      <c r="O276" s="163"/>
      <c r="P276" s="163"/>
      <c r="Q276" s="163"/>
      <c r="R276" s="163"/>
      <c r="S276" s="163"/>
      <c r="T276" s="163"/>
      <c r="U276" s="163"/>
      <c r="V276" s="5"/>
    </row>
    <row r="277" spans="1:22" x14ac:dyDescent="0.35">
      <c r="A277" s="168"/>
      <c r="B277" s="13" t="s">
        <v>97</v>
      </c>
      <c r="C277" s="13"/>
      <c r="D277" s="13"/>
      <c r="E277" s="13"/>
      <c r="F277" s="131" t="s">
        <v>154</v>
      </c>
      <c r="G277" s="13"/>
      <c r="H277" s="13" t="s">
        <v>161</v>
      </c>
      <c r="I277" s="163"/>
      <c r="J277" s="163"/>
      <c r="K277" s="163"/>
      <c r="L277" s="163"/>
      <c r="M277" s="163"/>
      <c r="N277" s="163"/>
      <c r="O277" s="163"/>
      <c r="P277" s="163"/>
      <c r="Q277" s="163"/>
      <c r="R277" s="163"/>
      <c r="S277" s="163"/>
      <c r="T277" s="163"/>
      <c r="U277" s="163"/>
      <c r="V277" s="5"/>
    </row>
    <row r="278" spans="1:22" x14ac:dyDescent="0.35">
      <c r="A278" s="168"/>
      <c r="B278" s="13"/>
      <c r="C278" s="13"/>
      <c r="D278" s="13"/>
      <c r="E278" s="13"/>
      <c r="F278" s="13"/>
      <c r="G278" s="99"/>
      <c r="H278" s="163"/>
      <c r="I278" s="163"/>
      <c r="J278" s="163"/>
      <c r="K278" s="163"/>
      <c r="L278" s="163"/>
      <c r="M278" s="163"/>
      <c r="N278" s="163"/>
      <c r="O278" s="163"/>
      <c r="P278" s="163"/>
      <c r="Q278" s="163"/>
      <c r="R278" s="163"/>
      <c r="S278" s="163"/>
      <c r="T278" s="163"/>
      <c r="U278" s="163"/>
      <c r="V278" s="5"/>
    </row>
    <row r="279" spans="1:22" x14ac:dyDescent="0.35">
      <c r="A279" s="168"/>
      <c r="B279" s="13"/>
      <c r="C279" s="13"/>
      <c r="D279" s="13"/>
      <c r="E279" s="13"/>
      <c r="F279" s="13"/>
      <c r="G279" s="99"/>
      <c r="H279" s="163"/>
      <c r="I279" s="163"/>
      <c r="J279" s="163"/>
      <c r="K279" s="163"/>
      <c r="L279" s="163"/>
      <c r="M279" s="163"/>
      <c r="N279" s="163"/>
      <c r="O279" s="163"/>
      <c r="P279" s="163"/>
      <c r="Q279" s="163"/>
      <c r="R279" s="163"/>
      <c r="S279" s="163"/>
      <c r="T279" s="163"/>
      <c r="U279" s="163"/>
      <c r="V279" s="5"/>
    </row>
    <row r="280" spans="1:22" ht="18" thickBot="1" x14ac:dyDescent="0.4">
      <c r="A280" s="168"/>
      <c r="B280" s="49" t="str">
        <f>B196</f>
        <v>PM10 INVESTOR REPORT QUARTER ENDING FEBRUARY 2008</v>
      </c>
      <c r="C280" s="13"/>
      <c r="D280" s="13"/>
      <c r="E280" s="13"/>
      <c r="F280" s="13"/>
      <c r="G280" s="99"/>
      <c r="H280" s="163"/>
      <c r="I280" s="163"/>
      <c r="J280" s="163"/>
      <c r="K280" s="163"/>
      <c r="L280" s="163"/>
      <c r="M280" s="163"/>
      <c r="N280" s="163"/>
      <c r="O280" s="163"/>
      <c r="P280" s="163"/>
      <c r="Q280" s="163"/>
      <c r="R280" s="163"/>
      <c r="S280" s="163"/>
      <c r="T280" s="163"/>
      <c r="U280" s="163"/>
      <c r="V280" s="5"/>
    </row>
    <row r="281" spans="1:22" x14ac:dyDescent="0.35">
      <c r="A281" s="100"/>
      <c r="B281" s="100"/>
      <c r="C281" s="100"/>
      <c r="D281" s="100"/>
      <c r="E281" s="100"/>
      <c r="F281" s="100"/>
      <c r="G281" s="100"/>
      <c r="H281" s="100"/>
      <c r="I281" s="100"/>
      <c r="J281" s="100"/>
      <c r="K281" s="100"/>
      <c r="L281" s="100"/>
      <c r="M281" s="100"/>
      <c r="N281" s="100"/>
      <c r="O281" s="100"/>
      <c r="P281" s="100"/>
      <c r="Q281" s="100"/>
      <c r="R281" s="100"/>
      <c r="S281" s="100"/>
      <c r="T281" s="100"/>
      <c r="U281" s="100"/>
    </row>
  </sheetData>
  <phoneticPr fontId="0" type="noConversion"/>
  <hyperlinks>
    <hyperlink ref="J9" r:id="rId1" xr:uid="{00000000-0004-0000-0800-000000000000}"/>
    <hyperlink ref="N232" r:id="rId2" xr:uid="{00000000-0004-0000-0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6" max="14" man="1"/>
    <brk id="196"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296</vt:i4>
      </vt:variant>
    </vt:vector>
  </HeadingPairs>
  <TitlesOfParts>
    <vt:vector size="355" baseType="lpstr">
      <vt:lpstr>Feb 06</vt:lpstr>
      <vt:lpstr>May 06</vt:lpstr>
      <vt:lpstr>Aug 06</vt:lpstr>
      <vt:lpstr>Nov 06</vt:lpstr>
      <vt:lpstr>Feb 07</vt:lpstr>
      <vt:lpstr>May 07</vt:lpstr>
      <vt:lpstr>Aug 07</vt:lpstr>
      <vt:lpstr>Nov 07</vt:lpstr>
      <vt:lpstr>Feb 08</vt:lpstr>
      <vt:lpstr>May 08</vt:lpstr>
      <vt:lpstr>Aug 08</vt:lpstr>
      <vt:lpstr>Nov 08</vt:lpstr>
      <vt:lpstr>Feb 09</vt:lpstr>
      <vt:lpstr>May 09</vt:lpstr>
      <vt:lpstr>Aug 09</vt:lpstr>
      <vt:lpstr>Nov 09</vt:lpstr>
      <vt:lpstr>Feb 10</vt:lpstr>
      <vt:lpstr>May 10</vt:lpstr>
      <vt:lpstr>August 10</vt:lpstr>
      <vt:lpstr>Nov 10</vt:lpstr>
      <vt:lpstr>Feb 11</vt:lpstr>
      <vt:lpstr>May 11</vt:lpstr>
      <vt:lpstr>August 11</vt:lpstr>
      <vt:lpstr>Nov 11</vt:lpstr>
      <vt:lpstr>Feb 12</vt:lpstr>
      <vt:lpstr>May 12</vt:lpstr>
      <vt:lpstr>August 12</vt:lpstr>
      <vt:lpstr>Nov 12</vt:lpstr>
      <vt:lpstr>Feb 13</vt:lpstr>
      <vt:lpstr>May 13</vt:lpstr>
      <vt:lpstr>Aug 13</vt:lpstr>
      <vt:lpstr>Nov 13</vt:lpstr>
      <vt:lpstr>Feb 14</vt:lpstr>
      <vt:lpstr>May 14</vt:lpstr>
      <vt:lpstr>August 14</vt:lpstr>
      <vt:lpstr>Nov 14</vt:lpstr>
      <vt:lpstr>Feb 15</vt:lpstr>
      <vt:lpstr>May 15</vt:lpstr>
      <vt:lpstr>Aug 15</vt:lpstr>
      <vt:lpstr>Nov 15</vt:lpstr>
      <vt:lpstr>Feb 16</vt:lpstr>
      <vt:lpstr>May 16</vt:lpstr>
      <vt:lpstr>Aug 16</vt:lpstr>
      <vt:lpstr>Nov 16</vt:lpstr>
      <vt:lpstr>Feb 17</vt:lpstr>
      <vt:lpstr>May 17</vt:lpstr>
      <vt:lpstr>Aug 17</vt:lpstr>
      <vt:lpstr>Nov 17</vt:lpstr>
      <vt:lpstr>Feb 18</vt:lpstr>
      <vt:lpstr>May 18</vt:lpstr>
      <vt:lpstr>Aug 18</vt:lpstr>
      <vt:lpstr>Nov 18</vt:lpstr>
      <vt:lpstr>Feb 19</vt:lpstr>
      <vt:lpstr>May 19</vt:lpstr>
      <vt:lpstr>Aug 19</vt:lpstr>
      <vt:lpstr>Nov 19</vt:lpstr>
      <vt:lpstr>Feb 20</vt:lpstr>
      <vt:lpstr>May 20</vt:lpstr>
      <vt:lpstr>Aug 20</vt:lpstr>
      <vt:lpstr>'Aug 09'!_100PAGE_4</vt:lpstr>
      <vt:lpstr>'Aug 13'!_101PAGE_4</vt:lpstr>
      <vt:lpstr>'August 10'!_102PAGE_4</vt:lpstr>
      <vt:lpstr>'August 11'!_103PAGE_4</vt:lpstr>
      <vt:lpstr>'August 12'!_104PAGE_4</vt:lpstr>
      <vt:lpstr>'Feb 07'!_105PAGE_4</vt:lpstr>
      <vt:lpstr>'Feb 08'!_106PAGE_4</vt:lpstr>
      <vt:lpstr>'Feb 09'!_107PAGE_4</vt:lpstr>
      <vt:lpstr>'Feb 10'!_108PAGE_4</vt:lpstr>
      <vt:lpstr>'Feb 11'!_109PAGE_4</vt:lpstr>
      <vt:lpstr>'Feb 08'!_10PAGE_1</vt:lpstr>
      <vt:lpstr>'Feb 12'!_110PAGE_4</vt:lpstr>
      <vt:lpstr>'Feb 13'!_111PAGE_4</vt:lpstr>
      <vt:lpstr>'May 06'!_112PAGE_4</vt:lpstr>
      <vt:lpstr>'May 07'!_113PAGE_4</vt:lpstr>
      <vt:lpstr>'May 08'!_114PAGE_4</vt:lpstr>
      <vt:lpstr>'May 09'!_115PAGE_4</vt:lpstr>
      <vt:lpstr>'May 10'!_116PAGE_4</vt:lpstr>
      <vt:lpstr>'May 11'!_117PAGE_4</vt:lpstr>
      <vt:lpstr>'May 12'!_118PAGE_4</vt:lpstr>
      <vt:lpstr>'May 13'!_119PAGE_4</vt:lpstr>
      <vt:lpstr>'Feb 09'!_11PAGE_1</vt:lpstr>
      <vt:lpstr>'Nov 06'!_120PAGE_4</vt:lpstr>
      <vt:lpstr>'Nov 07'!_121PAGE_4</vt:lpstr>
      <vt:lpstr>'Nov 08'!_122PAGE_4</vt:lpstr>
      <vt:lpstr>'Nov 09'!_123PAGE_4</vt:lpstr>
      <vt:lpstr>'Nov 10'!_124PAGE_4</vt:lpstr>
      <vt:lpstr>'Nov 11'!_125PAGE_4</vt:lpstr>
      <vt:lpstr>'Nov 12'!_126PAGE_4</vt:lpstr>
      <vt:lpstr>'Aug 15'!_127PAGE_4</vt:lpstr>
      <vt:lpstr>'Aug 16'!_127PAGE_4</vt:lpstr>
      <vt:lpstr>'Aug 17'!_127PAGE_4</vt:lpstr>
      <vt:lpstr>'Aug 18'!_127PAGE_4</vt:lpstr>
      <vt:lpstr>'Aug 19'!_127PAGE_4</vt:lpstr>
      <vt:lpstr>'Aug 20'!_127PAGE_4</vt:lpstr>
      <vt:lpstr>'August 14'!_127PAGE_4</vt:lpstr>
      <vt:lpstr>'Feb 14'!_127PAGE_4</vt:lpstr>
      <vt:lpstr>'Feb 15'!_127PAGE_4</vt:lpstr>
      <vt:lpstr>'Feb 16'!_127PAGE_4</vt:lpstr>
      <vt:lpstr>'Feb 17'!_127PAGE_4</vt:lpstr>
      <vt:lpstr>'Feb 18'!_127PAGE_4</vt:lpstr>
      <vt:lpstr>'Feb 19'!_127PAGE_4</vt:lpstr>
      <vt:lpstr>'Feb 20'!_127PAGE_4</vt:lpstr>
      <vt:lpstr>'May 14'!_127PAGE_4</vt:lpstr>
      <vt:lpstr>'May 15'!_127PAGE_4</vt:lpstr>
      <vt:lpstr>'May 16'!_127PAGE_4</vt:lpstr>
      <vt:lpstr>'May 17'!_127PAGE_4</vt:lpstr>
      <vt:lpstr>'May 18'!_127PAGE_4</vt:lpstr>
      <vt:lpstr>'May 19'!_127PAGE_4</vt:lpstr>
      <vt:lpstr>'May 20'!_127PAGE_4</vt:lpstr>
      <vt:lpstr>'Nov 13'!_127PAGE_4</vt:lpstr>
      <vt:lpstr>'Nov 14'!_127PAGE_4</vt:lpstr>
      <vt:lpstr>'Nov 15'!_127PAGE_4</vt:lpstr>
      <vt:lpstr>'Nov 16'!_127PAGE_4</vt:lpstr>
      <vt:lpstr>'Nov 17'!_127PAGE_4</vt:lpstr>
      <vt:lpstr>'Nov 18'!_127PAGE_4</vt:lpstr>
      <vt:lpstr>'Nov 19'!_127PAGE_4</vt:lpstr>
      <vt:lpstr>_128PAGE_4</vt:lpstr>
      <vt:lpstr>'Feb 10'!_12PAGE_1</vt:lpstr>
      <vt:lpstr>'Feb 11'!_13PAGE_1</vt:lpstr>
      <vt:lpstr>'Feb 12'!_14PAGE_1</vt:lpstr>
      <vt:lpstr>'Feb 13'!_15PAGE_1</vt:lpstr>
      <vt:lpstr>'May 06'!_16PAGE_1</vt:lpstr>
      <vt:lpstr>'May 07'!_17PAGE_1</vt:lpstr>
      <vt:lpstr>'May 08'!_18PAGE_1</vt:lpstr>
      <vt:lpstr>'May 09'!_19PAGE_1</vt:lpstr>
      <vt:lpstr>'Aug 06'!_1PAGE_1</vt:lpstr>
      <vt:lpstr>'May 10'!_20PAGE_1</vt:lpstr>
      <vt:lpstr>'May 11'!_21PAGE_1</vt:lpstr>
      <vt:lpstr>'May 12'!_22PAGE_1</vt:lpstr>
      <vt:lpstr>'May 13'!_23PAGE_1</vt:lpstr>
      <vt:lpstr>'Nov 06'!_24PAGE_1</vt:lpstr>
      <vt:lpstr>'Nov 07'!_25PAGE_1</vt:lpstr>
      <vt:lpstr>'Nov 08'!_26PAGE_1</vt:lpstr>
      <vt:lpstr>'Nov 09'!_27PAGE_1</vt:lpstr>
      <vt:lpstr>'Nov 10'!_28PAGE_1</vt:lpstr>
      <vt:lpstr>'Nov 11'!_29PAGE_1</vt:lpstr>
      <vt:lpstr>'Aug 07'!_2PAGE_1</vt:lpstr>
      <vt:lpstr>'Nov 12'!_30PAGE_1</vt:lpstr>
      <vt:lpstr>'Aug 15'!_31PAGE_1</vt:lpstr>
      <vt:lpstr>'Aug 16'!_31PAGE_1</vt:lpstr>
      <vt:lpstr>'Aug 17'!_31PAGE_1</vt:lpstr>
      <vt:lpstr>'Aug 18'!_31PAGE_1</vt:lpstr>
      <vt:lpstr>'Aug 19'!_31PAGE_1</vt:lpstr>
      <vt:lpstr>'Aug 20'!_31PAGE_1</vt:lpstr>
      <vt:lpstr>'August 14'!_31PAGE_1</vt:lpstr>
      <vt:lpstr>'Feb 14'!_31PAGE_1</vt:lpstr>
      <vt:lpstr>'Feb 15'!_31PAGE_1</vt:lpstr>
      <vt:lpstr>'Feb 16'!_31PAGE_1</vt:lpstr>
      <vt:lpstr>'Feb 17'!_31PAGE_1</vt:lpstr>
      <vt:lpstr>'Feb 18'!_31PAGE_1</vt:lpstr>
      <vt:lpstr>'Feb 19'!_31PAGE_1</vt:lpstr>
      <vt:lpstr>'Feb 20'!_31PAGE_1</vt:lpstr>
      <vt:lpstr>'May 14'!_31PAGE_1</vt:lpstr>
      <vt:lpstr>'May 15'!_31PAGE_1</vt:lpstr>
      <vt:lpstr>'May 16'!_31PAGE_1</vt:lpstr>
      <vt:lpstr>'May 17'!_31PAGE_1</vt:lpstr>
      <vt:lpstr>'May 18'!_31PAGE_1</vt:lpstr>
      <vt:lpstr>'May 19'!_31PAGE_1</vt:lpstr>
      <vt:lpstr>'May 20'!_31PAGE_1</vt:lpstr>
      <vt:lpstr>'Nov 13'!_31PAGE_1</vt:lpstr>
      <vt:lpstr>'Nov 14'!_31PAGE_1</vt:lpstr>
      <vt:lpstr>'Nov 15'!_31PAGE_1</vt:lpstr>
      <vt:lpstr>'Nov 16'!_31PAGE_1</vt:lpstr>
      <vt:lpstr>'Nov 17'!_31PAGE_1</vt:lpstr>
      <vt:lpstr>'Nov 18'!_31PAGE_1</vt:lpstr>
      <vt:lpstr>'Nov 19'!_31PAGE_1</vt:lpstr>
      <vt:lpstr>_32PAGE_1</vt:lpstr>
      <vt:lpstr>'Aug 06'!_33PAGE_2</vt:lpstr>
      <vt:lpstr>'Aug 07'!_34PAGE_2</vt:lpstr>
      <vt:lpstr>'Aug 08'!_35PAGE_2</vt:lpstr>
      <vt:lpstr>'Aug 09'!_36PAGE_2</vt:lpstr>
      <vt:lpstr>'Aug 13'!_37PAGE_2</vt:lpstr>
      <vt:lpstr>'August 10'!_38PAGE_2</vt:lpstr>
      <vt:lpstr>'August 11'!_39PAGE_2</vt:lpstr>
      <vt:lpstr>'Aug 08'!_3PAGE_1</vt:lpstr>
      <vt:lpstr>'August 12'!_40PAGE_2</vt:lpstr>
      <vt:lpstr>'Feb 07'!_41PAGE_2</vt:lpstr>
      <vt:lpstr>'Feb 08'!_42PAGE_2</vt:lpstr>
      <vt:lpstr>'Feb 09'!_43PAGE_2</vt:lpstr>
      <vt:lpstr>'Feb 10'!_44PAGE_2</vt:lpstr>
      <vt:lpstr>'Feb 11'!_45PAGE_2</vt:lpstr>
      <vt:lpstr>'Feb 12'!_46PAGE_2</vt:lpstr>
      <vt:lpstr>'Feb 13'!_47PAGE_2</vt:lpstr>
      <vt:lpstr>'May 06'!_48PAGE_2</vt:lpstr>
      <vt:lpstr>'May 07'!_49PAGE_2</vt:lpstr>
      <vt:lpstr>'Aug 09'!_4PAGE_1</vt:lpstr>
      <vt:lpstr>'May 08'!_50PAGE_2</vt:lpstr>
      <vt:lpstr>'May 09'!_51PAGE_2</vt:lpstr>
      <vt:lpstr>'May 10'!_52PAGE_2</vt:lpstr>
      <vt:lpstr>'May 11'!_53PAGE_2</vt:lpstr>
      <vt:lpstr>'May 12'!_54PAGE_2</vt:lpstr>
      <vt:lpstr>'May 13'!_55PAGE_2</vt:lpstr>
      <vt:lpstr>'Nov 06'!_56PAGE_2</vt:lpstr>
      <vt:lpstr>'Nov 07'!_57PAGE_2</vt:lpstr>
      <vt:lpstr>'Nov 08'!_58PAGE_2</vt:lpstr>
      <vt:lpstr>'Nov 09'!_59PAGE_2</vt:lpstr>
      <vt:lpstr>'Aug 13'!_5PAGE_1</vt:lpstr>
      <vt:lpstr>'Nov 10'!_60PAGE_2</vt:lpstr>
      <vt:lpstr>'Nov 11'!_61PAGE_2</vt:lpstr>
      <vt:lpstr>'Nov 12'!_62PAGE_2</vt:lpstr>
      <vt:lpstr>'Aug 15'!_63PAGE_2</vt:lpstr>
      <vt:lpstr>'Aug 16'!_63PAGE_2</vt:lpstr>
      <vt:lpstr>'Aug 17'!_63PAGE_2</vt:lpstr>
      <vt:lpstr>'Aug 18'!_63PAGE_2</vt:lpstr>
      <vt:lpstr>'Aug 19'!_63PAGE_2</vt:lpstr>
      <vt:lpstr>'Aug 20'!_63PAGE_2</vt:lpstr>
      <vt:lpstr>'August 14'!_63PAGE_2</vt:lpstr>
      <vt:lpstr>'Feb 14'!_63PAGE_2</vt:lpstr>
      <vt:lpstr>'Feb 15'!_63PAGE_2</vt:lpstr>
      <vt:lpstr>'Feb 16'!_63PAGE_2</vt:lpstr>
      <vt:lpstr>'Feb 17'!_63PAGE_2</vt:lpstr>
      <vt:lpstr>'Feb 18'!_63PAGE_2</vt:lpstr>
      <vt:lpstr>'Feb 19'!_63PAGE_2</vt:lpstr>
      <vt:lpstr>'Feb 20'!_63PAGE_2</vt:lpstr>
      <vt:lpstr>'May 14'!_63PAGE_2</vt:lpstr>
      <vt:lpstr>'May 15'!_63PAGE_2</vt:lpstr>
      <vt:lpstr>'May 16'!_63PAGE_2</vt:lpstr>
      <vt:lpstr>'May 17'!_63PAGE_2</vt:lpstr>
      <vt:lpstr>'May 18'!_63PAGE_2</vt:lpstr>
      <vt:lpstr>'May 19'!_63PAGE_2</vt:lpstr>
      <vt:lpstr>'May 20'!_63PAGE_2</vt:lpstr>
      <vt:lpstr>'Nov 13'!_63PAGE_2</vt:lpstr>
      <vt:lpstr>'Nov 14'!_63PAGE_2</vt:lpstr>
      <vt:lpstr>'Nov 15'!_63PAGE_2</vt:lpstr>
      <vt:lpstr>'Nov 16'!_63PAGE_2</vt:lpstr>
      <vt:lpstr>'Nov 17'!_63PAGE_2</vt:lpstr>
      <vt:lpstr>'Nov 18'!_63PAGE_2</vt:lpstr>
      <vt:lpstr>'Nov 19'!_63PAGE_2</vt:lpstr>
      <vt:lpstr>_64PAGE_2</vt:lpstr>
      <vt:lpstr>'Aug 06'!_65PAGE_3</vt:lpstr>
      <vt:lpstr>'Aug 07'!_66PAGE_3</vt:lpstr>
      <vt:lpstr>'Aug 08'!_67PAGE_3</vt:lpstr>
      <vt:lpstr>'Aug 09'!_68PAGE_3</vt:lpstr>
      <vt:lpstr>'Aug 13'!_69PAGE_3</vt:lpstr>
      <vt:lpstr>'August 10'!_6PAGE_1</vt:lpstr>
      <vt:lpstr>'August 10'!_70PAGE_3</vt:lpstr>
      <vt:lpstr>'August 11'!_71PAGE_3</vt:lpstr>
      <vt:lpstr>'August 12'!_72PAGE_3</vt:lpstr>
      <vt:lpstr>'Feb 07'!_73PAGE_3</vt:lpstr>
      <vt:lpstr>'Feb 08'!_74PAGE_3</vt:lpstr>
      <vt:lpstr>'Feb 09'!_75PAGE_3</vt:lpstr>
      <vt:lpstr>'Feb 10'!_76PAGE_3</vt:lpstr>
      <vt:lpstr>'Feb 11'!_77PAGE_3</vt:lpstr>
      <vt:lpstr>'Feb 12'!_78PAGE_3</vt:lpstr>
      <vt:lpstr>'Feb 13'!_79PAGE_3</vt:lpstr>
      <vt:lpstr>'August 11'!_7PAGE_1</vt:lpstr>
      <vt:lpstr>'May 06'!_80PAGE_3</vt:lpstr>
      <vt:lpstr>'May 07'!_81PAGE_3</vt:lpstr>
      <vt:lpstr>'May 08'!_82PAGE_3</vt:lpstr>
      <vt:lpstr>'May 09'!_83PAGE_3</vt:lpstr>
      <vt:lpstr>'May 10'!_84PAGE_3</vt:lpstr>
      <vt:lpstr>'May 11'!_85PAGE_3</vt:lpstr>
      <vt:lpstr>'May 12'!_86PAGE_3</vt:lpstr>
      <vt:lpstr>'May 13'!_87PAGE_3</vt:lpstr>
      <vt:lpstr>'Nov 06'!_88PAGE_3</vt:lpstr>
      <vt:lpstr>'Nov 07'!_89PAGE_3</vt:lpstr>
      <vt:lpstr>'August 12'!_8PAGE_1</vt:lpstr>
      <vt:lpstr>'Nov 08'!_90PAGE_3</vt:lpstr>
      <vt:lpstr>'Nov 09'!_91PAGE_3</vt:lpstr>
      <vt:lpstr>'Nov 10'!_92PAGE_3</vt:lpstr>
      <vt:lpstr>'Nov 11'!_93PAGE_3</vt:lpstr>
      <vt:lpstr>'Nov 12'!_94PAGE_3</vt:lpstr>
      <vt:lpstr>'Aug 15'!_95PAGE_3</vt:lpstr>
      <vt:lpstr>'Aug 16'!_95PAGE_3</vt:lpstr>
      <vt:lpstr>'Aug 17'!_95PAGE_3</vt:lpstr>
      <vt:lpstr>'Aug 18'!_95PAGE_3</vt:lpstr>
      <vt:lpstr>'Aug 19'!_95PAGE_3</vt:lpstr>
      <vt:lpstr>'Aug 20'!_95PAGE_3</vt:lpstr>
      <vt:lpstr>'August 14'!_95PAGE_3</vt:lpstr>
      <vt:lpstr>'Feb 14'!_95PAGE_3</vt:lpstr>
      <vt:lpstr>'Feb 15'!_95PAGE_3</vt:lpstr>
      <vt:lpstr>'Feb 16'!_95PAGE_3</vt:lpstr>
      <vt:lpstr>'Feb 17'!_95PAGE_3</vt:lpstr>
      <vt:lpstr>'Feb 18'!_95PAGE_3</vt:lpstr>
      <vt:lpstr>'Feb 19'!_95PAGE_3</vt:lpstr>
      <vt:lpstr>'Feb 20'!_95PAGE_3</vt:lpstr>
      <vt:lpstr>'May 14'!_95PAGE_3</vt:lpstr>
      <vt:lpstr>'May 15'!_95PAGE_3</vt:lpstr>
      <vt:lpstr>'May 16'!_95PAGE_3</vt:lpstr>
      <vt:lpstr>'May 17'!_95PAGE_3</vt:lpstr>
      <vt:lpstr>'May 18'!_95PAGE_3</vt:lpstr>
      <vt:lpstr>'May 19'!_95PAGE_3</vt:lpstr>
      <vt:lpstr>'May 20'!_95PAGE_3</vt:lpstr>
      <vt:lpstr>'Nov 13'!_95PAGE_3</vt:lpstr>
      <vt:lpstr>'Nov 14'!_95PAGE_3</vt:lpstr>
      <vt:lpstr>'Nov 15'!_95PAGE_3</vt:lpstr>
      <vt:lpstr>'Nov 16'!_95PAGE_3</vt:lpstr>
      <vt:lpstr>'Nov 17'!_95PAGE_3</vt:lpstr>
      <vt:lpstr>'Nov 18'!_95PAGE_3</vt:lpstr>
      <vt:lpstr>'Nov 19'!_95PAGE_3</vt:lpstr>
      <vt:lpstr>_96PAGE_3</vt:lpstr>
      <vt:lpstr>'Aug 06'!_97PAGE_4</vt:lpstr>
      <vt:lpstr>'Aug 07'!_98PAGE_4</vt:lpstr>
      <vt:lpstr>'Aug 08'!_99PAGE_4</vt:lpstr>
      <vt:lpstr>'Feb 07'!_9PAGE_1</vt:lpstr>
      <vt:lpstr>'Aug 06'!Print_Area</vt:lpstr>
      <vt:lpstr>'Aug 07'!Print_Area</vt:lpstr>
      <vt:lpstr>'Aug 08'!Print_Area</vt:lpstr>
      <vt:lpstr>'Aug 09'!Print_Area</vt:lpstr>
      <vt:lpstr>'Aug 13'!Print_Area</vt:lpstr>
      <vt:lpstr>'Aug 15'!Print_Area</vt:lpstr>
      <vt:lpstr>'Aug 16'!Print_Area</vt:lpstr>
      <vt:lpstr>'Aug 17'!Print_Area</vt:lpstr>
      <vt:lpstr>'Aug 18'!Print_Area</vt:lpstr>
      <vt:lpstr>'Aug 19'!Print_Area</vt:lpstr>
      <vt:lpstr>'Aug 20'!Print_Area</vt:lpstr>
      <vt:lpstr>'August 10'!Print_Area</vt:lpstr>
      <vt:lpstr>'August 11'!Print_Area</vt:lpstr>
      <vt:lpstr>'August 12'!Print_Area</vt:lpstr>
      <vt:lpstr>'August 14'!Print_Area</vt:lpstr>
      <vt:lpstr>'Feb 06'!Print_Area</vt:lpstr>
      <vt:lpstr>'Feb 07'!Print_Area</vt:lpstr>
      <vt:lpstr>'Feb 08'!Print_Area</vt:lpstr>
      <vt:lpstr>'Feb 09'!Print_Area</vt:lpstr>
      <vt:lpstr>'Feb 10'!Print_Area</vt:lpstr>
      <vt:lpstr>'Feb 11'!Print_Area</vt:lpstr>
      <vt:lpstr>'Feb 12'!Print_Area</vt:lpstr>
      <vt:lpstr>'Feb 13'!Print_Area</vt:lpstr>
      <vt:lpstr>'Feb 14'!Print_Area</vt:lpstr>
      <vt:lpstr>'Feb 15'!Print_Area</vt:lpstr>
      <vt:lpstr>'Feb 16'!Print_Area</vt:lpstr>
      <vt:lpstr>'Feb 17'!Print_Area</vt:lpstr>
      <vt:lpstr>'Feb 18'!Print_Area</vt:lpstr>
      <vt:lpstr>'Feb 19'!Print_Area</vt:lpstr>
      <vt:lpstr>'Feb 20'!Print_Area</vt:lpstr>
      <vt:lpstr>'May 06'!Print_Area</vt:lpstr>
      <vt:lpstr>'May 07'!Print_Area</vt:lpstr>
      <vt:lpstr>'May 08'!Print_Area</vt:lpstr>
      <vt:lpstr>'May 09'!Print_Area</vt:lpstr>
      <vt:lpstr>'May 10'!Print_Area</vt:lpstr>
      <vt:lpstr>'May 11'!Print_Area</vt:lpstr>
      <vt:lpstr>'May 12'!Print_Area</vt:lpstr>
      <vt:lpstr>'May 13'!Print_Area</vt:lpstr>
      <vt:lpstr>'May 14'!Print_Area</vt:lpstr>
      <vt:lpstr>'May 15'!Print_Area</vt:lpstr>
      <vt:lpstr>'May 16'!Print_Area</vt:lpstr>
      <vt:lpstr>'May 17'!Print_Area</vt:lpstr>
      <vt:lpstr>'May 18'!Print_Area</vt:lpstr>
      <vt:lpstr>'May 19'!Print_Area</vt:lpstr>
      <vt:lpstr>'May 20'!Print_Area</vt:lpstr>
      <vt:lpstr>'Nov 06'!Print_Area</vt:lpstr>
      <vt:lpstr>'Nov 07'!Print_Area</vt:lpstr>
      <vt:lpstr>'Nov 08'!Print_Area</vt:lpstr>
      <vt:lpstr>'Nov 09'!Print_Area</vt:lpstr>
      <vt:lpstr>'Nov 10'!Print_Area</vt:lpstr>
      <vt:lpstr>'Nov 11'!Print_Area</vt:lpstr>
      <vt:lpstr>'Nov 12'!Print_Area</vt:lpstr>
      <vt:lpstr>'Nov 13'!Print_Area</vt:lpstr>
      <vt:lpstr>'Nov 14'!Print_Area</vt:lpstr>
      <vt:lpstr>'Nov 15'!Print_Area</vt:lpstr>
      <vt:lpstr>'Nov 16'!Print_Area</vt:lpstr>
      <vt:lpstr>'Nov 17'!Print_Area</vt:lpstr>
      <vt:lpstr>'Nov 18'!Print_Area</vt:lpstr>
      <vt:lpstr>'Nov 19'!Print_Area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Julia Gilbride</cp:lastModifiedBy>
  <cp:lastPrinted>2020-03-11T10:56:46Z</cp:lastPrinted>
  <dcterms:created xsi:type="dcterms:W3CDTF">2003-11-18T07:58:35Z</dcterms:created>
  <dcterms:modified xsi:type="dcterms:W3CDTF">2020-09-21T07:18:42Z</dcterms:modified>
</cp:coreProperties>
</file>